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ceanwinds.sharepoint.com/sites/PolicyandRegulationsGroup/Shared Documents/UK Policy &amp; Regs Files/03- TNUOS activity/04 - Expansion constant/CMP375-16 05.12.2022/"/>
    </mc:Choice>
  </mc:AlternateContent>
  <xr:revisionPtr revIDLastSave="3" documentId="8_{8DA77A2F-B3DE-413E-9CBB-6F8CCA869CAB}" xr6:coauthVersionLast="47" xr6:coauthVersionMax="47" xr10:uidLastSave="{2B19C15F-1E73-4B93-8FFB-547656314AE6}"/>
  <bookViews>
    <workbookView xWindow="-120" yWindow="-16320" windowWidth="29040" windowHeight="15840" activeTab="1" xr2:uid="{1A94F227-DC5A-4D38-82E6-7F982A00A343}"/>
  </bookViews>
  <sheets>
    <sheet name="Application of basket" sheetId="2" r:id="rId1"/>
    <sheet name="CMP375" sheetId="3" r:id="rId2"/>
  </sheets>
  <externalReferences>
    <externalReference r:id="rId3"/>
  </externalReferences>
  <definedNames>
    <definedName name="Assumed_Asset_Life__years">#REF!</definedName>
    <definedName name="Assumedyears">#REF!</definedName>
    <definedName name="MEA_Cost">#REF!</definedName>
    <definedName name="MEA_Cost2">'CMP375'!$AC$7</definedName>
    <definedName name="Overheads" localSheetId="1">[1]Constants!$C$3</definedName>
    <definedName name="Overheads">#REF!</definedName>
    <definedName name="WACC" localSheetId="1">[1]Constants!$C$2</definedName>
    <definedName name="WACC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2" l="1"/>
  <c r="D13" i="2"/>
  <c r="D15" i="2"/>
  <c r="F41" i="2" l="1"/>
  <c r="F40" i="2"/>
  <c r="C41" i="2"/>
  <c r="X15" i="2"/>
  <c r="V15" i="2"/>
  <c r="U15" i="2"/>
  <c r="R15" i="2"/>
  <c r="P15" i="2"/>
  <c r="N15" i="2"/>
  <c r="M15" i="2"/>
  <c r="J15" i="2"/>
  <c r="I15" i="2"/>
  <c r="H15" i="2"/>
  <c r="G15" i="2"/>
  <c r="F15" i="2"/>
  <c r="E15" i="2"/>
  <c r="C15" i="2"/>
  <c r="X14" i="2"/>
  <c r="V14" i="2"/>
  <c r="U14" i="2"/>
  <c r="T14" i="2"/>
  <c r="S14" i="2"/>
  <c r="R14" i="2"/>
  <c r="P14" i="2"/>
  <c r="N14" i="2"/>
  <c r="M14" i="2"/>
  <c r="K14" i="2"/>
  <c r="J14" i="2"/>
  <c r="I14" i="2"/>
  <c r="H14" i="2"/>
  <c r="G14" i="2"/>
  <c r="F14" i="2"/>
  <c r="E14" i="2"/>
  <c r="D14" i="2"/>
  <c r="C14" i="2"/>
  <c r="X13" i="2"/>
  <c r="V13" i="2"/>
  <c r="U13" i="2"/>
  <c r="R13" i="2"/>
  <c r="P13" i="2"/>
  <c r="N13" i="2"/>
  <c r="M13" i="2"/>
  <c r="J13" i="2"/>
  <c r="I13" i="2"/>
  <c r="H13" i="2"/>
  <c r="G13" i="2"/>
  <c r="F13" i="2"/>
  <c r="E13" i="2"/>
  <c r="C13" i="2"/>
  <c r="X12" i="2"/>
  <c r="V12" i="2"/>
  <c r="U12" i="2"/>
  <c r="R12" i="2"/>
  <c r="P12" i="2"/>
  <c r="N12" i="2"/>
  <c r="M12" i="2"/>
  <c r="J12" i="2"/>
  <c r="I12" i="2"/>
  <c r="H12" i="2"/>
  <c r="G12" i="2"/>
  <c r="F12" i="2"/>
  <c r="E12" i="2"/>
  <c r="C12" i="2"/>
  <c r="X11" i="2"/>
  <c r="V11" i="2"/>
  <c r="U11" i="2"/>
  <c r="R11" i="2"/>
  <c r="P11" i="2"/>
  <c r="C40" i="2" s="1"/>
  <c r="O11" i="2"/>
  <c r="N11" i="2"/>
  <c r="M11" i="2"/>
  <c r="J11" i="2"/>
  <c r="I11" i="2"/>
  <c r="H11" i="2"/>
  <c r="G11" i="2"/>
  <c r="F11" i="2"/>
  <c r="E11" i="2"/>
  <c r="D11" i="2"/>
  <c r="C11" i="2"/>
  <c r="X10" i="2"/>
  <c r="W10" i="2"/>
  <c r="V10" i="2"/>
  <c r="U10" i="2"/>
  <c r="R10" i="2"/>
  <c r="P10" i="2"/>
  <c r="N10" i="2"/>
  <c r="M10" i="2"/>
  <c r="J10" i="2"/>
  <c r="I10" i="2"/>
  <c r="H10" i="2"/>
  <c r="G10" i="2"/>
  <c r="F10" i="2"/>
  <c r="E10" i="2"/>
  <c r="D10" i="2"/>
  <c r="C10" i="2"/>
  <c r="X9" i="2"/>
  <c r="V9" i="2"/>
  <c r="U9" i="2"/>
  <c r="T9" i="2"/>
  <c r="R9" i="2"/>
  <c r="P9" i="2"/>
  <c r="N9" i="2"/>
  <c r="M9" i="2"/>
  <c r="L9" i="2"/>
  <c r="J9" i="2"/>
  <c r="I9" i="2"/>
  <c r="H9" i="2"/>
  <c r="G9" i="2"/>
  <c r="F9" i="2"/>
  <c r="E9" i="2"/>
  <c r="D9" i="2"/>
  <c r="C9" i="2"/>
  <c r="U12" i="3"/>
  <c r="T12" i="3"/>
  <c r="Q12" i="3"/>
  <c r="R12" i="3" s="1"/>
  <c r="S12" i="3" s="1"/>
  <c r="V12" i="3" s="1"/>
  <c r="W15" i="2" s="1"/>
  <c r="M12" i="3"/>
  <c r="L12" i="3"/>
  <c r="I12" i="3"/>
  <c r="J12" i="3" s="1"/>
  <c r="K12" i="3" s="1"/>
  <c r="N12" i="3" s="1"/>
  <c r="O15" i="2" s="1"/>
  <c r="U11" i="3"/>
  <c r="T11" i="3"/>
  <c r="Q11" i="3"/>
  <c r="R11" i="3" s="1"/>
  <c r="S11" i="3" s="1"/>
  <c r="V11" i="3" s="1"/>
  <c r="W14" i="2" s="1"/>
  <c r="M11" i="3"/>
  <c r="L11" i="3"/>
  <c r="K11" i="3"/>
  <c r="L14" i="2" s="1"/>
  <c r="I11" i="3"/>
  <c r="J11" i="3" s="1"/>
  <c r="U10" i="3"/>
  <c r="T10" i="3"/>
  <c r="Q10" i="3"/>
  <c r="R10" i="3" s="1"/>
  <c r="S10" i="3" s="1"/>
  <c r="V10" i="3" s="1"/>
  <c r="W13" i="2" s="1"/>
  <c r="M10" i="3"/>
  <c r="L10" i="3"/>
  <c r="I10" i="3"/>
  <c r="J10" i="3" s="1"/>
  <c r="K10" i="3" s="1"/>
  <c r="N10" i="3" s="1"/>
  <c r="O13" i="2" s="1"/>
  <c r="U9" i="3"/>
  <c r="T9" i="3"/>
  <c r="S9" i="3"/>
  <c r="V9" i="3" s="1"/>
  <c r="W12" i="2" s="1"/>
  <c r="Q9" i="3"/>
  <c r="R9" i="3" s="1"/>
  <c r="S12" i="2" s="1"/>
  <c r="M9" i="3"/>
  <c r="L9" i="3"/>
  <c r="I9" i="3"/>
  <c r="J9" i="3" s="1"/>
  <c r="K9" i="3" s="1"/>
  <c r="N9" i="3" s="1"/>
  <c r="O12" i="2" s="1"/>
  <c r="V8" i="3"/>
  <c r="W11" i="2" s="1"/>
  <c r="U8" i="3"/>
  <c r="T8" i="3"/>
  <c r="S8" i="3"/>
  <c r="T11" i="2" s="1"/>
  <c r="Q8" i="3"/>
  <c r="R8" i="3" s="1"/>
  <c r="S11" i="2" s="1"/>
  <c r="M8" i="3"/>
  <c r="L8" i="3"/>
  <c r="I8" i="3"/>
  <c r="J8" i="3" s="1"/>
  <c r="K8" i="3" s="1"/>
  <c r="N8" i="3" s="1"/>
  <c r="V7" i="3"/>
  <c r="U7" i="3"/>
  <c r="T7" i="3"/>
  <c r="S7" i="3"/>
  <c r="T10" i="2" s="1"/>
  <c r="Q7" i="3"/>
  <c r="R7" i="3" s="1"/>
  <c r="S10" i="2" s="1"/>
  <c r="M7" i="3"/>
  <c r="L7" i="3"/>
  <c r="I7" i="3"/>
  <c r="J7" i="3" s="1"/>
  <c r="K7" i="3" s="1"/>
  <c r="N7" i="3" s="1"/>
  <c r="O10" i="2" s="1"/>
  <c r="V6" i="3"/>
  <c r="W9" i="2" s="1"/>
  <c r="U6" i="3"/>
  <c r="T6" i="3"/>
  <c r="S6" i="3"/>
  <c r="Q6" i="3"/>
  <c r="R6" i="3" s="1"/>
  <c r="S9" i="2" s="1"/>
  <c r="M6" i="3"/>
  <c r="L6" i="3"/>
  <c r="I6" i="3"/>
  <c r="J6" i="3" s="1"/>
  <c r="K6" i="3" s="1"/>
  <c r="N6" i="3" s="1"/>
  <c r="O9" i="2" s="1"/>
  <c r="C30" i="2"/>
  <c r="C29" i="2"/>
  <c r="C28" i="2"/>
  <c r="N11" i="3" l="1"/>
  <c r="O14" i="2" s="1"/>
  <c r="K11" i="2"/>
  <c r="K10" i="2"/>
  <c r="L11" i="2"/>
  <c r="K9" i="2"/>
  <c r="L10" i="2"/>
  <c r="K12" i="2"/>
  <c r="T12" i="2"/>
  <c r="K15" i="2"/>
  <c r="S15" i="2"/>
  <c r="L15" i="2"/>
  <c r="T15" i="2"/>
  <c r="K13" i="2"/>
  <c r="S13" i="2"/>
  <c r="L13" i="2"/>
  <c r="T13" i="2"/>
  <c r="L12" i="2"/>
  <c r="O6" i="3"/>
  <c r="W6" i="3"/>
  <c r="O7" i="3"/>
  <c r="W7" i="3"/>
  <c r="O8" i="3"/>
  <c r="W8" i="3"/>
  <c r="O9" i="3"/>
  <c r="W9" i="3"/>
  <c r="O10" i="3"/>
  <c r="W10" i="3"/>
  <c r="O11" i="3"/>
  <c r="W11" i="3"/>
  <c r="O12" i="3"/>
  <c r="W12" i="3"/>
  <c r="P6" i="3"/>
  <c r="Q9" i="2" s="1"/>
  <c r="X6" i="3"/>
  <c r="Y9" i="2" s="1"/>
  <c r="P7" i="3"/>
  <c r="Q10" i="2" s="1"/>
  <c r="X7" i="3"/>
  <c r="Y10" i="2" s="1"/>
  <c r="P8" i="3"/>
  <c r="Q11" i="2" s="1"/>
  <c r="X8" i="3"/>
  <c r="Y11" i="2" s="1"/>
  <c r="P9" i="3"/>
  <c r="Q12" i="2" s="1"/>
  <c r="D40" i="2" s="1"/>
  <c r="E40" i="2" s="1"/>
  <c r="X9" i="3"/>
  <c r="Y12" i="2" s="1"/>
  <c r="P10" i="3"/>
  <c r="Q13" i="2" s="1"/>
  <c r="D41" i="2" s="1"/>
  <c r="E41" i="2" s="1"/>
  <c r="X10" i="3"/>
  <c r="Y13" i="2" s="1"/>
  <c r="P11" i="3"/>
  <c r="Q14" i="2" s="1"/>
  <c r="X11" i="3"/>
  <c r="Y14" i="2" s="1"/>
  <c r="P12" i="3"/>
  <c r="Q15" i="2" s="1"/>
  <c r="X12" i="3"/>
  <c r="Y15" i="2" s="1"/>
  <c r="C43" i="2" l="1"/>
  <c r="X15" i="3"/>
  <c r="W15" i="3"/>
  <c r="X16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tc={78EFDDFC-9C9B-4415-BF06-A591B6311155}</author>
    <author>tc={D42889F0-8299-43B2-A46C-1D2843228294}</author>
    <author>tc={D87A4049-C780-420F-8EDD-40EAD667B837}</author>
    <author>tc={424969C8-917D-44FA-8E64-EF2CD8AA08FA}</author>
    <author>tc={86620E50-E941-47BC-834A-F8001A0B7DD9}</author>
    <author>tc={4BE0D3FD-06BF-42B6-9A59-5DD482B920FE}</author>
    <author>tc={2F705390-054B-40E0-85D7-C21DEA0514F7}</author>
    <author>tc={1BAB0258-B93F-44A3-BE7D-1CE1107D3E55}</author>
    <author>tc={4315D33C-9498-4261-8619-233720865918}</author>
    <author>tc={B0E76C8F-462E-41C3-91F0-740A5312B682}</author>
    <author>tc={33977940-3BE7-4CAB-90DB-B74BCDE91C76}</author>
    <author>tc={E91D44A0-70DF-4CBE-9C7E-3EAFB3728B8E}</author>
    <author>tc={71D2126F-2AFC-49A0-83B3-CF5832E94F65}</author>
    <author>tc={1A6999DA-2E04-4F2C-99D5-E0BF4B06BD05}</author>
  </authors>
  <commentList>
    <comment ref="C8" authorId="0" shapeId="0" xr:uid="{78EFDDFC-9C9B-4415-BF06-A591B6311155}">
      <text>
        <t>[Threaded comment]
Your version of Excel allows you to read this threaded comment; however, any edits to it will get removed if the file is opened in a newer version of Excel. Learn more: https://go.microsoft.com/fwlink/?linkid=870924
Comment:
    It this was for an item of plant without a length (eg a transformer) it would simply be the number of pieces of that sort of plant (1 in most cases).</t>
      </text>
    </comment>
    <comment ref="E8" authorId="1" shapeId="0" xr:uid="{D42889F0-8299-43B2-A46C-1D2843228294}">
      <text>
        <t>[Threaded comment]
Your version of Excel allows you to read this threaded comment; however, any edits to it will get removed if the file is opened in a newer version of Excel. Learn more: https://go.microsoft.com/fwlink/?linkid=870924
Comment:
    For a new build circuit, this value is always 0 (capital expenditure is at time of build)</t>
      </text>
    </comment>
    <comment ref="F8" authorId="2" shapeId="0" xr:uid="{D87A4049-C780-420F-8EDD-40EAD667B837}">
      <text>
        <t>[Threaded comment]
Your version of Excel allows you to read this threaded comment; however, any edits to it will get removed if the file is opened in a newer version of Excel. Learn more: https://go.microsoft.com/fwlink/?linkid=870924
Comment:
    Zero for new build assets, expected life of the initial asset (if maintained in accordance with good industry practice) for refurbished assets</t>
      </text>
    </comment>
    <comment ref="H8" authorId="3" shapeId="0" xr:uid="{424969C8-917D-44FA-8E64-EF2CD8AA08FA}">
      <text>
        <t>[Threaded comment]
Your version of Excel allows you to read this threaded comment; however, any edits to it will get removed if the file is opened in a newer version of Excel. Learn more: https://go.microsoft.com/fwlink/?linkid=870924
Comment:
    For a new build circuit, there was no circuit before the investment, therefore the inital capacity is always 0</t>
      </text>
    </comment>
    <comment ref="K8" authorId="4" shapeId="0" xr:uid="{86620E50-E941-47BC-834A-F8001A0B7DD9}">
      <text>
        <t>[Threaded comment]
Your version of Excel allows you to read this threaded comment; however, any edits to it will get removed if the file is opened in a newer version of Excel. Learn more: https://go.microsoft.com/fwlink/?linkid=870924
Comment:
    Didn't use MEA approach.  High or low incremental costs should be smoothed by also including historic costs in final EC</t>
      </text>
    </comment>
    <comment ref="L8" authorId="5" shapeId="0" xr:uid="{4BE0D3FD-06BF-42B6-9A59-5DD482B920FE}">
      <text>
        <t>[Threaded comment]
Your version of Excel allows you to read this threaded comment; however, any edits to it will get removed if the file is opened in a newer version of Excel. Learn more: https://go.microsoft.com/fwlink/?linkid=870924
Comment:
    Incremental MW used</t>
      </text>
    </comment>
    <comment ref="M8" authorId="6" shapeId="0" xr:uid="{2F705390-054B-40E0-85D7-C21DEA0514F7}">
      <text>
        <t>[Threaded comment]
Your version of Excel allows you to read this threaded comment; however, any edits to it will get removed if the file is opened in a newer version of Excel. Learn more: https://go.microsoft.com/fwlink/?linkid=870924
Comment:
    Adjusted for years additional MW are provided for</t>
      </text>
    </comment>
    <comment ref="N8" authorId="7" shapeId="0" xr:uid="{1BAB0258-B93F-44A3-BE7D-1CE1107D3E55}">
      <text>
        <t>[Threaded comment]
Your version of Excel allows you to read this threaded comment; however, any edits to it will get removed if the file is opened in a newer version of Excel. Learn more: https://go.microsoft.com/fwlink/?linkid=870924
Comment:
    Crude scaling to reflect overheads not allocated for 50 years</t>
      </text>
    </comment>
    <comment ref="U8" authorId="8" shapeId="0" xr:uid="{4315D33C-9498-4261-8619-233720865918}">
      <text>
        <t>[Threaded comment]
Your version of Excel allows you to read this threaded comment; however, any edits to it will get removed if the file is opened in a newer version of Excel. Learn more: https://go.microsoft.com/fwlink/?linkid=870924
Comment:
    Adjusted to reflect additional years provided by investment</t>
      </text>
    </comment>
    <comment ref="V8" authorId="9" shapeId="0" xr:uid="{B0E76C8F-462E-41C3-91F0-740A5312B682}">
      <text>
        <t>[Threaded comment]
Your version of Excel allows you to read this threaded comment; however, any edits to it will get removed if the file is opened in a newer version of Excel. Learn more: https://go.microsoft.com/fwlink/?linkid=870924
Comment:
    Crude scaling to reflect overheads not allocated for 50 years</t>
      </text>
    </comment>
    <comment ref="W8" authorId="10" shapeId="0" xr:uid="{33977940-3BE7-4CAB-90DB-B74BCDE91C76}">
      <text>
        <t>[Threaded comment]
Your version of Excel allows you to read this threaded comment; however, any edits to it will get removed if the file is opened in a newer version of Excel. Learn more: https://go.microsoft.com/fwlink/?linkid=870924
Comment:
    Also includes an allowance for TO overheads in accordance with CUSC 14.15.67</t>
      </text>
    </comment>
    <comment ref="B13" authorId="11" shapeId="0" xr:uid="{E91D44A0-70DF-4CBE-9C7E-3EAFB3728B8E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is a simple reconductoring, 30 years after the asset was buit. It increases the circuit capacity, but does not change the asset life</t>
      </text>
    </comment>
    <comment ref="B14" authorId="12" shapeId="0" xr:uid="{71D2126F-2AFC-49A0-83B3-CF5832E94F65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is a simple reconductoring, 30 years after the asset was buit. It increases the circuit capacity, but does not change the asset life</t>
      </text>
    </comment>
    <comment ref="B15" authorId="13" shapeId="0" xr:uid="{1A6999DA-2E04-4F2C-99D5-E0BF4B06BD05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is a simple reconductoring, 30 years after the asset was buit. It increases the circuit capacity, but does not change the asset life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tc={E5C8F377-87F3-458D-BE14-45D254B37D25}</author>
    <author>tc={AD5E5B46-2D92-44A4-91BF-2134404F60E4}</author>
    <author>tc={1BE3A76A-5E25-48F5-A034-4D772E86B38E}</author>
    <author>tc={4D973EF4-B4FB-404A-9D00-ABE707B709F4}</author>
    <author>tc={27BC97F5-A7B0-45BA-B599-6AD76467AA75}</author>
    <author>tc={FEE28C85-B483-4634-8708-AE8706CDC55C}</author>
    <author>tc={610D4713-F238-41BC-9CA3-2E055B4BAA75}</author>
    <author>tc={5292FFB6-4C50-4DA4-A203-E6AAC7043096}</author>
    <author>tc={504D8976-ADD5-4F8E-8C7B-16DAC7C2D198}</author>
    <author>tc={BBB6ED83-939A-4342-979A-D7523FDC3C6C}</author>
    <author>tc={9184F586-1122-49E6-9B8A-28A088F91AB2}</author>
    <author>tc={93343F90-C4B9-4F5D-9B70-516D78704071}</author>
    <author>tc={97130994-2442-49EA-9891-CB804C639033}</author>
    <author>tc={34CF139F-237E-4524-A938-DDF2CD39FBD0}</author>
  </authors>
  <commentList>
    <comment ref="B5" authorId="0" shapeId="0" xr:uid="{E5C8F377-87F3-458D-BE14-45D254B37D25}">
      <text>
        <t>[Threaded comment]
Your version of Excel allows you to read this threaded comment; however, any edits to it will get removed if the file is opened in a newer version of Excel. Learn more: https://go.microsoft.com/fwlink/?linkid=870924
Comment:
    It this was for an item of plant without a length (eg a transformer) it would simply be the number of pieces of that sort of plant (1 in most cases).</t>
      </text>
    </comment>
    <comment ref="D5" authorId="1" shapeId="0" xr:uid="{AD5E5B46-2D92-44A4-91BF-2134404F60E4}">
      <text>
        <t>[Threaded comment]
Your version of Excel allows you to read this threaded comment; however, any edits to it will get removed if the file is opened in a newer version of Excel. Learn more: https://go.microsoft.com/fwlink/?linkid=870924
Comment:
    For a new build circuit, this value is always 0 (capital expenditure is at time of build)</t>
      </text>
    </comment>
    <comment ref="E5" authorId="2" shapeId="0" xr:uid="{1BE3A76A-5E25-48F5-A034-4D772E86B38E}">
      <text>
        <t>[Threaded comment]
Your version of Excel allows you to read this threaded comment; however, any edits to it will get removed if the file is opened in a newer version of Excel. Learn more: https://go.microsoft.com/fwlink/?linkid=870924
Comment:
    Zero for new build assets, expected life of the initial asset (if maintained in accordance with good industry practice) for refurbished assets</t>
      </text>
    </comment>
    <comment ref="G5" authorId="3" shapeId="0" xr:uid="{4D973EF4-B4FB-404A-9D00-ABE707B709F4}">
      <text>
        <t>[Threaded comment]
Your version of Excel allows you to read this threaded comment; however, any edits to it will get removed if the file is opened in a newer version of Excel. Learn more: https://go.microsoft.com/fwlink/?linkid=870924
Comment:
    For a new build circuit, there was no circuit before the investment, therefore the inital capacity is always 0</t>
      </text>
    </comment>
    <comment ref="J5" authorId="4" shapeId="0" xr:uid="{27BC97F5-A7B0-45BA-B599-6AD76467AA75}">
      <text>
        <t>[Threaded comment]
Your version of Excel allows you to read this threaded comment; however, any edits to it will get removed if the file is opened in a newer version of Excel. Learn more: https://go.microsoft.com/fwlink/?linkid=870924
Comment:
    Didn't use MEA approach.  High or low incremental costs should be smoothed by also including historic costs in final EC</t>
      </text>
    </comment>
    <comment ref="K5" authorId="5" shapeId="0" xr:uid="{FEE28C85-B483-4634-8708-AE8706CDC55C}">
      <text>
        <t>[Threaded comment]
Your version of Excel allows you to read this threaded comment; however, any edits to it will get removed if the file is opened in a newer version of Excel. Learn more: https://go.microsoft.com/fwlink/?linkid=870924
Comment:
    Incremental MW used</t>
      </text>
    </comment>
    <comment ref="L5" authorId="6" shapeId="0" xr:uid="{610D4713-F238-41BC-9CA3-2E055B4BAA75}">
      <text>
        <t>[Threaded comment]
Your version of Excel allows you to read this threaded comment; however, any edits to it will get removed if the file is opened in a newer version of Excel. Learn more: https://go.microsoft.com/fwlink/?linkid=870924
Comment:
    Adjusted for years additional MW are provided for</t>
      </text>
    </comment>
    <comment ref="M5" authorId="7" shapeId="0" xr:uid="{5292FFB6-4C50-4DA4-A203-E6AAC7043096}">
      <text>
        <t>[Threaded comment]
Your version of Excel allows you to read this threaded comment; however, any edits to it will get removed if the file is opened in a newer version of Excel. Learn more: https://go.microsoft.com/fwlink/?linkid=870924
Comment:
    Crude scaling to reflect overheads not allocated for 50 years</t>
      </text>
    </comment>
    <comment ref="T5" authorId="8" shapeId="0" xr:uid="{504D8976-ADD5-4F8E-8C7B-16DAC7C2D198}">
      <text>
        <t>[Threaded comment]
Your version of Excel allows you to read this threaded comment; however, any edits to it will get removed if the file is opened in a newer version of Excel. Learn more: https://go.microsoft.com/fwlink/?linkid=870924
Comment:
    Adjusted to reflect additional years provided by investment</t>
      </text>
    </comment>
    <comment ref="U5" authorId="9" shapeId="0" xr:uid="{BBB6ED83-939A-4342-979A-D7523FDC3C6C}">
      <text>
        <t>[Threaded comment]
Your version of Excel allows you to read this threaded comment; however, any edits to it will get removed if the file is opened in a newer version of Excel. Learn more: https://go.microsoft.com/fwlink/?linkid=870924
Comment:
    Crude scaling to reflect overheads not allocated for 50 years</t>
      </text>
    </comment>
    <comment ref="V5" authorId="10" shapeId="0" xr:uid="{9184F586-1122-49E6-9B8A-28A088F91AB2}">
      <text>
        <t>[Threaded comment]
Your version of Excel allows you to read this threaded comment; however, any edits to it will get removed if the file is opened in a newer version of Excel. Learn more: https://go.microsoft.com/fwlink/?linkid=870924
Comment:
    Also includes an allowance for TO overheads in accordance with CUSC 14.15.67</t>
      </text>
    </comment>
    <comment ref="A10" authorId="11" shapeId="0" xr:uid="{93343F90-C4B9-4F5D-9B70-516D78704071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is a simple reconductoring, 30 years after the asset was buit. It increases the circuit capacity, but does not change the asset life</t>
      </text>
    </comment>
    <comment ref="A11" authorId="12" shapeId="0" xr:uid="{97130994-2442-49EA-9891-CB804C639033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is a simple reconductoring, 30 years after the asset was buit. It increases the circuit capacity, but does not change the asset life</t>
      </text>
    </comment>
    <comment ref="A12" authorId="13" shapeId="0" xr:uid="{34CF139F-237E-4524-A938-DDF2CD39FBD0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is a simple reconductoring, 30 years after the asset was buit. It increases the circuit capacity, but does not change the asset life</t>
      </text>
    </comment>
  </commentList>
</comments>
</file>

<file path=xl/sharedStrings.xml><?xml version="1.0" encoding="utf-8"?>
<sst xmlns="http://schemas.openxmlformats.org/spreadsheetml/2006/main" count="96" uniqueCount="54">
  <si>
    <t>Length (km)</t>
  </si>
  <si>
    <t>New Capacity (MVA)</t>
  </si>
  <si>
    <t>Initial Capacity (MVA)</t>
  </si>
  <si>
    <t>New Build 1</t>
  </si>
  <si>
    <t>New Build 3</t>
  </si>
  <si>
    <t>New Build 4</t>
  </si>
  <si>
    <t>Reconductor 1</t>
  </si>
  <si>
    <t>Reconductor 2</t>
  </si>
  <si>
    <t>Reconductor 3</t>
  </si>
  <si>
    <t>Annualisation Factor</t>
  </si>
  <si>
    <t>Total</t>
  </si>
  <si>
    <t>New Build 2</t>
  </si>
  <si>
    <t>The calculation of this basket is shown in an accompanying workbook using TOs RIIO Business Plans data.</t>
  </si>
  <si>
    <t>Name</t>
  </si>
  <si>
    <t>Voltage</t>
  </si>
  <si>
    <t>OHL</t>
  </si>
  <si>
    <t>Cable</t>
  </si>
  <si>
    <t>Total additions</t>
  </si>
  <si>
    <t>Total replacements</t>
  </si>
  <si>
    <t>Where no data is available, assume all new build as today</t>
  </si>
  <si>
    <t>These calculations show how the cost per MW-km of reinforcement would be calculated for additions and replacements</t>
  </si>
  <si>
    <t>The data below shows the representative basket of works for each circuit type and voltage level, split between additions and replacements</t>
  </si>
  <si>
    <t>Works type</t>
  </si>
  <si>
    <t>Additions</t>
  </si>
  <si>
    <t>Replacements</t>
  </si>
  <si>
    <t>Total EC/EF in £/MW-km</t>
  </si>
  <si>
    <t>EC/EF component, £/MW-km</t>
  </si>
  <si>
    <t>Weighting in basket</t>
  </si>
  <si>
    <t>These represent the proportion of works (currently weighted by km) of each type that are planned in the latest price control period.</t>
  </si>
  <si>
    <t>These are weighted by their weightings in the basket of works to create an overall EC/EF for this circuit type and voltage level.</t>
  </si>
  <si>
    <t>Step 1 - data used to calculate the cost of different works types for an example circuit type and voltage level</t>
  </si>
  <si>
    <t>Step 2 - creating the representative basket of works</t>
  </si>
  <si>
    <t>Step 3 - calculating costs for each works type and applying the weightings from the basket</t>
  </si>
  <si>
    <t>Incremental MW</t>
  </si>
  <si>
    <t>Incremental Life</t>
  </si>
  <si>
    <t>Capital Cost (GBP)</t>
  </si>
  <si>
    <t>Time from initial build (years)</t>
  </si>
  <si>
    <t>Initial life (years)</t>
  </si>
  <si>
    <t>Life( years)</t>
  </si>
  <si>
    <t>Incremental MW.years (red area)</t>
  </si>
  <si>
    <t>Allocated cost to Incremental MW</t>
  </si>
  <si>
    <t>Cost (GBP/MWkm)</t>
  </si>
  <si>
    <t xml:space="preserve">Overhead </t>
  </si>
  <si>
    <t>Annualised Cost (GBP/MWkm)</t>
  </si>
  <si>
    <t>MW km years</t>
  </si>
  <si>
    <t>MW km years Cost (GBP)</t>
  </si>
  <si>
    <t>Incremental MW.years (blue area)</t>
  </si>
  <si>
    <t>Allocated cost to Incremental life</t>
  </si>
  <si>
    <t>Raw Expansion Constant</t>
  </si>
  <si>
    <t>MW-km years</t>
  </si>
  <si>
    <t>MW-km year cost</t>
  </si>
  <si>
    <t>This calculation should be consistent with the CMP375 PJ approach</t>
  </si>
  <si>
    <t>The data below has been copied from the data sheet for the CMP375 PJ</t>
  </si>
  <si>
    <t>We have shown how the representative basket would apply for a single circuit and voltage combination (400kV OHL) - an equivalent calculation applies to other circuits types and voltages.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</si>
</sst>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[$$-409]#,##0.00"/>
    <numFmt numFmtId="165" formatCode="0.0%"/>
    <numFmt numFmtId="166" formatCode="#,##0.000"/>
    <numFmt numFmtId="167" formatCode="0.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Verdana"/>
      <family val="2"/>
    </font>
    <font>
      <sz val="11"/>
      <name val="CG Omega"/>
      <family val="2"/>
    </font>
    <font>
      <i/>
      <sz val="10"/>
      <color theme="1"/>
      <name val="Verdana"/>
      <family val="2"/>
    </font>
    <font>
      <b/>
      <sz val="11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8181"/>
        <bgColor indexed="64"/>
      </patternFill>
    </fill>
    <fill>
      <patternFill patternType="solid">
        <fgColor rgb="FF69BFFF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0" fontId="3" fillId="0" borderId="0"/>
    <xf numFmtId="164" fontId="7" fillId="0" borderId="0"/>
    <xf numFmtId="164" fontId="6" fillId="0" borderId="0"/>
    <xf numFmtId="43" fontId="3" fillId="0" borderId="0" applyFont="0" applyFill="0" applyBorder="0" applyAlignment="0" applyProtection="0"/>
  </cellStyleXfs>
  <cellXfs count="57">
    <xf numFmtId="0" fontId="0" fillId="0" borderId="0" xfId="0"/>
    <xf numFmtId="3" fontId="0" fillId="2" borderId="0" xfId="0" applyNumberFormat="1" applyFill="1"/>
    <xf numFmtId="3" fontId="0" fillId="0" borderId="0" xfId="0" applyNumberFormat="1"/>
    <xf numFmtId="2" fontId="0" fillId="0" borderId="0" xfId="0" applyNumberFormat="1"/>
    <xf numFmtId="2" fontId="0" fillId="0" borderId="0" xfId="0" applyNumberFormat="1" applyFill="1"/>
    <xf numFmtId="0" fontId="0" fillId="2" borderId="0" xfId="0" applyFill="1"/>
    <xf numFmtId="0" fontId="0" fillId="0" borderId="0" xfId="0" applyAlignment="1">
      <alignment wrapText="1"/>
    </xf>
    <xf numFmtId="0" fontId="0" fillId="0" borderId="0" xfId="0"/>
    <xf numFmtId="0" fontId="1" fillId="0" borderId="0" xfId="0" applyFont="1"/>
    <xf numFmtId="0" fontId="5" fillId="3" borderId="0" xfId="0" applyFont="1" applyFill="1" applyBorder="1"/>
    <xf numFmtId="0" fontId="5" fillId="3" borderId="1" xfId="0" applyFont="1" applyFill="1" applyBorder="1"/>
    <xf numFmtId="0" fontId="4" fillId="4" borderId="2" xfId="0" applyFont="1" applyFill="1" applyBorder="1"/>
    <xf numFmtId="0" fontId="5" fillId="4" borderId="2" xfId="0" applyFont="1" applyFill="1" applyBorder="1"/>
    <xf numFmtId="164" fontId="8" fillId="0" borderId="0" xfId="4" applyFont="1"/>
    <xf numFmtId="164" fontId="6" fillId="0" borderId="0" xfId="4"/>
    <xf numFmtId="0" fontId="0" fillId="0" borderId="3" xfId="0" applyBorder="1"/>
    <xf numFmtId="0" fontId="4" fillId="0" borderId="3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 wrapText="1"/>
    </xf>
    <xf numFmtId="0" fontId="3" fillId="0" borderId="3" xfId="2" applyFont="1" applyFill="1" applyBorder="1"/>
    <xf numFmtId="0" fontId="3" fillId="0" borderId="3" xfId="2" applyFont="1" applyFill="1" applyBorder="1" applyAlignment="1">
      <alignment horizontal="center" vertical="center"/>
    </xf>
    <xf numFmtId="165" fontId="5" fillId="0" borderId="3" xfId="3" applyNumberFormat="1" applyFont="1" applyFill="1" applyBorder="1" applyAlignment="1">
      <alignment horizontal="center"/>
    </xf>
    <xf numFmtId="165" fontId="5" fillId="5" borderId="3" xfId="3" applyNumberFormat="1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 vertical="center" wrapText="1"/>
    </xf>
    <xf numFmtId="2" fontId="3" fillId="0" borderId="3" xfId="2" applyNumberFormat="1" applyFont="1" applyFill="1" applyBorder="1" applyAlignment="1">
      <alignment horizontal="center" vertical="center"/>
    </xf>
    <xf numFmtId="2" fontId="2" fillId="0" borderId="3" xfId="2" applyNumberFormat="1" applyFont="1" applyFill="1" applyBorder="1" applyAlignment="1">
      <alignment horizontal="center" vertical="center"/>
    </xf>
    <xf numFmtId="0" fontId="1" fillId="6" borderId="4" xfId="0" applyFont="1" applyFill="1" applyBorder="1"/>
    <xf numFmtId="0" fontId="1" fillId="6" borderId="2" xfId="0" applyFont="1" applyFill="1" applyBorder="1"/>
    <xf numFmtId="0" fontId="0" fillId="6" borderId="2" xfId="0" applyFill="1" applyBorder="1"/>
    <xf numFmtId="0" fontId="0" fillId="6" borderId="5" xfId="0" applyFill="1" applyBorder="1"/>
    <xf numFmtId="0" fontId="1" fillId="7" borderId="4" xfId="0" applyFont="1" applyFill="1" applyBorder="1"/>
    <xf numFmtId="0" fontId="1" fillId="7" borderId="2" xfId="0" applyFont="1" applyFill="1" applyBorder="1"/>
    <xf numFmtId="0" fontId="0" fillId="7" borderId="2" xfId="0" applyFill="1" applyBorder="1"/>
    <xf numFmtId="0" fontId="0" fillId="7" borderId="5" xfId="0" applyFill="1" applyBorder="1"/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166" fontId="0" fillId="0" borderId="0" xfId="0" applyNumberFormat="1"/>
    <xf numFmtId="3" fontId="0" fillId="0" borderId="6" xfId="0" applyNumberFormat="1" applyBorder="1"/>
    <xf numFmtId="3" fontId="0" fillId="0" borderId="7" xfId="0" applyNumberFormat="1" applyBorder="1"/>
    <xf numFmtId="2" fontId="1" fillId="0" borderId="0" xfId="0" applyNumberFormat="1" applyFont="1"/>
    <xf numFmtId="43" fontId="1" fillId="0" borderId="0" xfId="5" applyFont="1"/>
    <xf numFmtId="167" fontId="0" fillId="0" borderId="0" xfId="0" applyNumberFormat="1"/>
    <xf numFmtId="0" fontId="1" fillId="0" borderId="0" xfId="0" applyFont="1" applyBorder="1"/>
    <xf numFmtId="0" fontId="0" fillId="0" borderId="3" xfId="0" applyBorder="1" applyAlignment="1">
      <alignment wrapText="1"/>
    </xf>
    <xf numFmtId="3" fontId="0" fillId="8" borderId="3" xfId="0" applyNumberFormat="1" applyFill="1" applyBorder="1"/>
    <xf numFmtId="0" fontId="0" fillId="8" borderId="3" xfId="0" applyFill="1" applyBorder="1"/>
    <xf numFmtId="166" fontId="0" fillId="8" borderId="3" xfId="0" applyNumberFormat="1" applyFill="1" applyBorder="1"/>
    <xf numFmtId="2" fontId="0" fillId="8" borderId="3" xfId="0" applyNumberFormat="1" applyFill="1" applyBorder="1"/>
    <xf numFmtId="3" fontId="3" fillId="0" borderId="3" xfId="2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wrapText="1"/>
    </xf>
    <xf numFmtId="0" fontId="0" fillId="0" borderId="0" xfId="0" applyFill="1"/>
    <xf numFmtId="3" fontId="0" fillId="0" borderId="0" xfId="0" applyNumberFormat="1" applyFill="1"/>
    <xf numFmtId="0" fontId="1" fillId="0" borderId="0" xfId="0" applyFont="1" applyFill="1" applyAlignment="1">
      <alignment wrapText="1"/>
    </xf>
    <xf numFmtId="3" fontId="1" fillId="0" borderId="0" xfId="0" applyNumberFormat="1" applyFont="1" applyFill="1"/>
    <xf numFmtId="4" fontId="0" fillId="0" borderId="0" xfId="0" applyNumberFormat="1" applyFill="1"/>
    <xf numFmtId="0" fontId="1" fillId="0" borderId="0" xfId="0" applyFont="1" applyFill="1"/>
    <xf numFmtId="0" fontId="0" fillId="0" borderId="0" xfId="0" applyFill="1" applyAlignment="1">
      <alignment wrapText="1"/>
    </xf>
  </cellXfs>
  <cellStyles count="6">
    <cellStyle name="%" xfId="3" xr:uid="{A673269D-F1FF-4EFA-AC54-08FCDCFA9FDC}"/>
    <cellStyle name="Comma" xfId="5" builtinId="3"/>
    <cellStyle name="Comma 2" xfId="1" xr:uid="{444D0184-1492-4420-BD0B-2A279F3C0AB6}"/>
    <cellStyle name="Normal" xfId="0" builtinId="0"/>
    <cellStyle name="Normal 10 2" xfId="4" xr:uid="{356742DB-A444-4622-A9E6-808338F3CAD2}"/>
    <cellStyle name="Normal 2" xfId="2" xr:uid="{0A08DBA5-DBF4-4BC7-8CA4-135678927E7B}"/>
  </cellStyles>
  <dxfs count="0"/>
  <tableStyles count="0" defaultTableStyle="TableStyleMedium2" defaultPivotStyle="PivotStyleLight16"/>
  <colors>
    <mruColors>
      <color rgb="FF69BFFF"/>
      <color rgb="FFFF81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530225</xdr:colOff>
      <xdr:row>19</xdr:row>
      <xdr:rowOff>31750</xdr:rowOff>
    </xdr:from>
    <xdr:to>
      <xdr:col>22</xdr:col>
      <xdr:colOff>631825</xdr:colOff>
      <xdr:row>42</xdr:row>
      <xdr:rowOff>107950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8CB3BD3C-A020-49B2-913B-F2772B8A5B29}"/>
            </a:ext>
          </a:extLst>
        </xdr:cNvPr>
        <xdr:cNvGrpSpPr/>
      </xdr:nvGrpSpPr>
      <xdr:grpSpPr>
        <a:xfrm>
          <a:off x="8966654" y="4302488"/>
          <a:ext cx="10235111" cy="4144736"/>
          <a:chOff x="15408275" y="4883150"/>
          <a:chExt cx="8001000" cy="4146550"/>
        </a:xfrm>
      </xdr:grpSpPr>
      <xdr:pic>
        <xdr:nvPicPr>
          <xdr:cNvPr id="3" name="Graphic 2">
            <a:extLst>
              <a:ext uri="{FF2B5EF4-FFF2-40B4-BE49-F238E27FC236}">
                <a16:creationId xmlns:a16="http://schemas.microsoft.com/office/drawing/2014/main" id="{B03C5E15-1516-05B8-2356-AC290FF2674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15408275" y="4883150"/>
            <a:ext cx="8001000" cy="4146550"/>
          </a:xfrm>
          <a:prstGeom prst="rect">
            <a:avLst/>
          </a:prstGeom>
        </xdr:spPr>
      </xdr:pic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502ADA3B-B7D5-E87F-3A7E-3530AB862EF1}"/>
              </a:ext>
            </a:extLst>
          </xdr:cNvPr>
          <xdr:cNvSpPr/>
        </xdr:nvSpPr>
        <xdr:spPr>
          <a:xfrm>
            <a:off x="19843752" y="6248400"/>
            <a:ext cx="1924754" cy="603250"/>
          </a:xfrm>
          <a:prstGeom prst="rect">
            <a:avLst/>
          </a:prstGeom>
          <a:pattFill prst="wdUpDiag">
            <a:fgClr>
              <a:srgbClr val="FF0000"/>
            </a:fgClr>
            <a:bgClr>
              <a:schemeClr val="bg1"/>
            </a:bgClr>
          </a:pattFill>
          <a:ln w="381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B1B1ACBC-E629-8546-CCD0-5ADD6AD8D4B0}"/>
              </a:ext>
            </a:extLst>
          </xdr:cNvPr>
          <xdr:cNvSpPr/>
        </xdr:nvSpPr>
        <xdr:spPr>
          <a:xfrm>
            <a:off x="20545424" y="6858000"/>
            <a:ext cx="1228725" cy="1263650"/>
          </a:xfrm>
          <a:prstGeom prst="rect">
            <a:avLst/>
          </a:prstGeom>
          <a:pattFill prst="wdUpDiag">
            <a:fgClr>
              <a:srgbClr val="0070C0"/>
            </a:fgClr>
            <a:bgClr>
              <a:schemeClr val="bg1"/>
            </a:bgClr>
          </a:pattFill>
          <a:ln w="381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DS\Documents\CMP375%20WG14%20CMP315%20WG17%20Papers\Paul%20Jones%20%20CMP315%20and%20CMP375%20Alternativ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MP315 PJ"/>
      <sheetName val="CMP375 PJ"/>
      <sheetName val="CMP375 LCP"/>
      <sheetName val="Constants"/>
    </sheetNames>
    <sheetDataSet>
      <sheetData sheetId="0"/>
      <sheetData sheetId="1"/>
      <sheetData sheetId="2"/>
      <sheetData sheetId="3">
        <row r="2">
          <cell r="C2">
            <v>0.04</v>
          </cell>
        </row>
        <row r="3">
          <cell r="C3">
            <v>1.7999999999999999E-2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Jones, Paul" id="{820F9DE3-20D5-43EB-ABE0-B75022778D00}" userId="S::P2161@uniper.energy::6b1c01df-18b0-43bf-88dc-de257a1616ff" providerId="AD"/>
  <person displayName="Nick Sillito" id="{2C075CE6-65CE-4403-B840-1065F1E9C75F}" userId="S::nsillito@peakgen.com::728306bb-6649-42fd-8271-fea0105d643e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8" dT="2022-08-28T11:01:57.87" personId="{2C075CE6-65CE-4403-B840-1065F1E9C75F}" id="{78EFDDFC-9C9B-4415-BF06-A591B6311155}">
    <text>It this was for an item of plant without a length (eg a transformer) it would simply be the number of pieces of that sort of plant (1 in most cases).</text>
  </threadedComment>
  <threadedComment ref="E8" dT="2022-06-10T09:30:20.32" personId="{2C075CE6-65CE-4403-B840-1065F1E9C75F}" id="{D42889F0-8299-43B2-A46C-1D2843228294}">
    <text>For a new build circuit, this value is always 0 (capital expenditure is at time of build)</text>
  </threadedComment>
  <threadedComment ref="F8" dT="2022-08-28T10:43:25.15" personId="{2C075CE6-65CE-4403-B840-1065F1E9C75F}" id="{D87A4049-C780-420F-8EDD-40EAD667B837}">
    <text>Zero for new build assets, expected life of the initial asset (if maintained in accordance with good industry practice) for refurbished assets</text>
  </threadedComment>
  <threadedComment ref="H8" dT="2022-06-10T09:31:24.46" personId="{2C075CE6-65CE-4403-B840-1065F1E9C75F}" id="{424969C8-917D-44FA-8E64-EF2CD8AA08FA}">
    <text>For a new build circuit, there was no circuit before the investment, therefore the inital capacity is always 0</text>
  </threadedComment>
  <threadedComment ref="K8" dT="2022-09-13T15:13:33.17" personId="{820F9DE3-20D5-43EB-ABE0-B75022778D00}" id="{86620E50-E941-47BC-834A-F8001A0B7DD9}">
    <text>Didn't use MEA approach.  High or low incremental costs should be smoothed by also including historic costs in final EC</text>
  </threadedComment>
  <threadedComment ref="L8" dT="2022-09-13T15:07:09.22" personId="{820F9DE3-20D5-43EB-ABE0-B75022778D00}" id="{4BE0D3FD-06BF-42B6-9A59-5DD482B920FE}">
    <text>Incremental MW used</text>
  </threadedComment>
  <threadedComment ref="M8" dT="2022-09-13T15:08:12.30" personId="{820F9DE3-20D5-43EB-ABE0-B75022778D00}" id="{2F705390-054B-40E0-85D7-C21DEA0514F7}">
    <text>Adjusted for years additional MW are provided for</text>
  </threadedComment>
  <threadedComment ref="N8" dT="2022-09-13T15:08:59.32" personId="{820F9DE3-20D5-43EB-ABE0-B75022778D00}" id="{1BAB0258-B93F-44A3-BE7D-1CE1107D3E55}">
    <text>Crude scaling to reflect overheads not allocated for 50 years</text>
  </threadedComment>
  <threadedComment ref="U8" dT="2022-09-13T15:08:12.30" personId="{820F9DE3-20D5-43EB-ABE0-B75022778D00}" id="{4315D33C-9498-4261-8619-233720865918}">
    <text>Adjusted to reflect additional years provided by investment</text>
  </threadedComment>
  <threadedComment ref="V8" dT="2022-09-13T15:08:59.32" personId="{820F9DE3-20D5-43EB-ABE0-B75022778D00}" id="{B0E76C8F-462E-41C3-91F0-740A5312B682}">
    <text>Crude scaling to reflect overheads not allocated for 50 years</text>
  </threadedComment>
  <threadedComment ref="W8" dT="2022-08-28T11:10:40.61" personId="{2C075CE6-65CE-4403-B840-1065F1E9C75F}" id="{33977940-3BE7-4CAB-90DB-B74BCDE91C76}">
    <text>Also includes an allowance for TO overheads in accordance with CUSC 14.15.67</text>
  </threadedComment>
  <threadedComment ref="B13" dT="2022-06-10T09:43:14.23" personId="{2C075CE6-65CE-4403-B840-1065F1E9C75F}" id="{E91D44A0-70DF-4CBE-9C7E-3EAFB3728B8E}">
    <text>This is a simple reconductoring, 30 years after the asset was buit. It increases the circuit capacity, but does not change the asset life</text>
  </threadedComment>
  <threadedComment ref="B14" dT="2022-06-10T09:43:14.23" personId="{2C075CE6-65CE-4403-B840-1065F1E9C75F}" id="{71D2126F-2AFC-49A0-83B3-CF5832E94F65}">
    <text>This is a simple reconductoring, 30 years after the asset was buit. It increases the circuit capacity, but does not change the asset life</text>
  </threadedComment>
  <threadedComment ref="B15" dT="2022-06-10T09:43:14.23" personId="{2C075CE6-65CE-4403-B840-1065F1E9C75F}" id="{1A6999DA-2E04-4F2C-99D5-E0BF4B06BD05}">
    <text>This is a simple reconductoring, 30 years after the asset was buit. It increases the circuit capacity, but does not change the asset life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5" dT="2022-08-28T11:01:57.87" personId="{2C075CE6-65CE-4403-B840-1065F1E9C75F}" id="{E5C8F377-87F3-458D-BE14-45D254B37D25}">
    <text>It this was for an item of plant without a length (eg a transformer) it would simply be the number of pieces of that sort of plant (1 in most cases).</text>
  </threadedComment>
  <threadedComment ref="D5" dT="2022-06-10T09:30:20.32" personId="{2C075CE6-65CE-4403-B840-1065F1E9C75F}" id="{AD5E5B46-2D92-44A4-91BF-2134404F60E4}">
    <text>For a new build circuit, this value is always 0 (capital expenditure is at time of build)</text>
  </threadedComment>
  <threadedComment ref="E5" dT="2022-08-28T10:43:25.15" personId="{2C075CE6-65CE-4403-B840-1065F1E9C75F}" id="{1BE3A76A-5E25-48F5-A034-4D772E86B38E}">
    <text>Zero for new build assets, expected life of the initial asset (if maintained in accordance with good industry practice) for refurbished assets</text>
  </threadedComment>
  <threadedComment ref="G5" dT="2022-06-10T09:31:24.46" personId="{2C075CE6-65CE-4403-B840-1065F1E9C75F}" id="{4D973EF4-B4FB-404A-9D00-ABE707B709F4}">
    <text>For a new build circuit, there was no circuit before the investment, therefore the inital capacity is always 0</text>
  </threadedComment>
  <threadedComment ref="J5" dT="2022-09-13T15:13:33.17" personId="{820F9DE3-20D5-43EB-ABE0-B75022778D00}" id="{27BC97F5-A7B0-45BA-B599-6AD76467AA75}">
    <text>Didn't use MEA approach.  High or low incremental costs should be smoothed by also including historic costs in final EC</text>
  </threadedComment>
  <threadedComment ref="K5" dT="2022-09-13T15:07:09.22" personId="{820F9DE3-20D5-43EB-ABE0-B75022778D00}" id="{FEE28C85-B483-4634-8708-AE8706CDC55C}">
    <text>Incremental MW used</text>
  </threadedComment>
  <threadedComment ref="L5" dT="2022-09-13T15:08:12.30" personId="{820F9DE3-20D5-43EB-ABE0-B75022778D00}" id="{610D4713-F238-41BC-9CA3-2E055B4BAA75}">
    <text>Adjusted for years additional MW are provided for</text>
  </threadedComment>
  <threadedComment ref="M5" dT="2022-09-13T15:08:59.32" personId="{820F9DE3-20D5-43EB-ABE0-B75022778D00}" id="{5292FFB6-4C50-4DA4-A203-E6AAC7043096}">
    <text>Crude scaling to reflect overheads not allocated for 50 years</text>
  </threadedComment>
  <threadedComment ref="T5" dT="2022-09-13T15:08:12.30" personId="{820F9DE3-20D5-43EB-ABE0-B75022778D00}" id="{504D8976-ADD5-4F8E-8C7B-16DAC7C2D198}">
    <text>Adjusted to reflect additional years provided by investment</text>
  </threadedComment>
  <threadedComment ref="U5" dT="2022-09-13T15:08:59.32" personId="{820F9DE3-20D5-43EB-ABE0-B75022778D00}" id="{BBB6ED83-939A-4342-979A-D7523FDC3C6C}">
    <text>Crude scaling to reflect overheads not allocated for 50 years</text>
  </threadedComment>
  <threadedComment ref="V5" dT="2022-08-28T11:10:40.61" personId="{2C075CE6-65CE-4403-B840-1065F1E9C75F}" id="{9184F586-1122-49E6-9B8A-28A088F91AB2}">
    <text>Also includes an allowance for TO overheads in accordance with CUSC 14.15.67</text>
  </threadedComment>
  <threadedComment ref="A10" dT="2022-06-10T09:43:14.23" personId="{2C075CE6-65CE-4403-B840-1065F1E9C75F}" id="{93343F90-C4B9-4F5D-9B70-516D78704071}">
    <text>This is a simple reconductoring, 30 years after the asset was buit. It increases the circuit capacity, but does not change the asset life</text>
  </threadedComment>
  <threadedComment ref="A11" dT="2022-06-10T09:43:14.23" personId="{2C075CE6-65CE-4403-B840-1065F1E9C75F}" id="{97130994-2442-49EA-9891-CB804C639033}">
    <text>This is a simple reconductoring, 30 years after the asset was buit. It increases the circuit capacity, but does not change the asset life</text>
  </threadedComment>
  <threadedComment ref="A12" dT="2022-06-10T09:43:14.23" personId="{2C075CE6-65CE-4403-B840-1065F1E9C75F}" id="{34CF139F-237E-4524-A938-DDF2CD39FBD0}">
    <text>This is a simple reconductoring, 30 years after the asset was buit. It increases the circuit capacity, but does not change the asset life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FE921-AC96-423C-8E0F-C99781199331}">
  <sheetPr>
    <tabColor theme="5"/>
  </sheetPr>
  <dimension ref="B2:AD43"/>
  <sheetViews>
    <sheetView showGridLines="0" zoomScale="70" zoomScaleNormal="70" workbookViewId="0">
      <selection activeCell="I40" sqref="I40"/>
    </sheetView>
  </sheetViews>
  <sheetFormatPr defaultRowHeight="14.4"/>
  <cols>
    <col min="2" max="2" width="15.44140625" bestFit="1" customWidth="1"/>
    <col min="3" max="5" width="15.6640625" customWidth="1"/>
    <col min="6" max="25" width="12.6640625" customWidth="1"/>
  </cols>
  <sheetData>
    <row r="2" spans="2:30" s="12" customFormat="1">
      <c r="B2" s="11" t="s">
        <v>30</v>
      </c>
    </row>
    <row r="3" spans="2:30" s="9" customFormat="1">
      <c r="B3" s="9" t="s">
        <v>52</v>
      </c>
    </row>
    <row r="4" spans="2:30" s="9" customFormat="1">
      <c r="B4" s="9" t="s">
        <v>53</v>
      </c>
    </row>
    <row r="5" spans="2:30" s="10" customFormat="1"/>
    <row r="6" spans="2:30" s="7" customFormat="1"/>
    <row r="7" spans="2:30" s="7" customFormat="1">
      <c r="B7" s="8"/>
      <c r="J7" s="26" t="s">
        <v>33</v>
      </c>
      <c r="K7" s="27"/>
      <c r="L7" s="28"/>
      <c r="M7" s="28"/>
      <c r="N7" s="28"/>
      <c r="O7" s="28"/>
      <c r="P7" s="28"/>
      <c r="Q7" s="29"/>
      <c r="R7" s="30" t="s">
        <v>34</v>
      </c>
      <c r="S7" s="31"/>
      <c r="T7" s="32"/>
      <c r="U7" s="32"/>
      <c r="V7" s="32"/>
      <c r="W7" s="32"/>
      <c r="X7" s="32"/>
      <c r="Y7" s="33"/>
      <c r="AB7" s="8"/>
    </row>
    <row r="8" spans="2:30" s="7" customFormat="1" ht="57.6">
      <c r="B8" s="43"/>
      <c r="C8" s="49" t="s">
        <v>0</v>
      </c>
      <c r="D8" s="49" t="s">
        <v>35</v>
      </c>
      <c r="E8" s="49" t="s">
        <v>36</v>
      </c>
      <c r="F8" s="49" t="s">
        <v>37</v>
      </c>
      <c r="G8" s="49" t="s">
        <v>38</v>
      </c>
      <c r="H8" s="49" t="s">
        <v>2</v>
      </c>
      <c r="I8" s="49" t="s">
        <v>1</v>
      </c>
      <c r="J8" s="49" t="s">
        <v>39</v>
      </c>
      <c r="K8" s="49" t="s">
        <v>40</v>
      </c>
      <c r="L8" s="49" t="s">
        <v>41</v>
      </c>
      <c r="M8" s="49" t="s">
        <v>9</v>
      </c>
      <c r="N8" s="49" t="s">
        <v>42</v>
      </c>
      <c r="O8" s="49" t="s">
        <v>43</v>
      </c>
      <c r="P8" s="49" t="s">
        <v>44</v>
      </c>
      <c r="Q8" s="49" t="s">
        <v>45</v>
      </c>
      <c r="R8" s="49" t="s">
        <v>46</v>
      </c>
      <c r="S8" s="49" t="s">
        <v>47</v>
      </c>
      <c r="T8" s="49" t="s">
        <v>41</v>
      </c>
      <c r="U8" s="49" t="s">
        <v>9</v>
      </c>
      <c r="V8" s="49" t="s">
        <v>42</v>
      </c>
      <c r="W8" s="49" t="s">
        <v>43</v>
      </c>
      <c r="X8" s="49" t="s">
        <v>44</v>
      </c>
      <c r="Y8" s="49" t="s">
        <v>45</v>
      </c>
      <c r="Z8" s="6"/>
      <c r="AA8" s="6"/>
      <c r="AB8" s="6"/>
      <c r="AC8" s="6"/>
      <c r="AD8" s="6"/>
    </row>
    <row r="9" spans="2:30" s="7" customFormat="1">
      <c r="B9" s="15" t="s">
        <v>3</v>
      </c>
      <c r="C9" s="44">
        <f>'CMP375'!B6</f>
        <v>10</v>
      </c>
      <c r="D9" s="44">
        <f>'CMP375'!C6</f>
        <v>5000000</v>
      </c>
      <c r="E9" s="45">
        <f>'CMP375'!D6</f>
        <v>0</v>
      </c>
      <c r="F9" s="45">
        <f>'CMP375'!E6</f>
        <v>0</v>
      </c>
      <c r="G9" s="44">
        <f>'CMP375'!F6</f>
        <v>50</v>
      </c>
      <c r="H9" s="44">
        <f>'CMP375'!G6</f>
        <v>0</v>
      </c>
      <c r="I9" s="44">
        <f>'CMP375'!H6</f>
        <v>2000</v>
      </c>
      <c r="J9" s="44">
        <f>'CMP375'!I6</f>
        <v>100000</v>
      </c>
      <c r="K9" s="44">
        <f>'CMP375'!J6</f>
        <v>5000000</v>
      </c>
      <c r="L9" s="44">
        <f>'CMP375'!K6</f>
        <v>250</v>
      </c>
      <c r="M9" s="46">
        <f>'CMP375'!L6</f>
        <v>4.6550200449541529E-2</v>
      </c>
      <c r="N9" s="46">
        <f>'CMP375'!M6</f>
        <v>1.7999999999999999E-2</v>
      </c>
      <c r="O9" s="44">
        <f>'CMP375'!N6</f>
        <v>16.137550112385384</v>
      </c>
      <c r="P9" s="44">
        <f>'CMP375'!O6</f>
        <v>1000000</v>
      </c>
      <c r="Q9" s="44">
        <f>'CMP375'!P6</f>
        <v>16137550.112385383</v>
      </c>
      <c r="R9" s="44">
        <f>'CMP375'!Q6</f>
        <v>0</v>
      </c>
      <c r="S9" s="44">
        <f>'CMP375'!R6</f>
        <v>0</v>
      </c>
      <c r="T9" s="44">
        <f>'CMP375'!S6</f>
        <v>0</v>
      </c>
      <c r="U9" s="46">
        <f>'CMP375'!T6</f>
        <v>4.6550200449541529E-2</v>
      </c>
      <c r="V9" s="46">
        <f>'CMP375'!U6</f>
        <v>1.7999999999999999E-2</v>
      </c>
      <c r="W9" s="47">
        <f>'CMP375'!V6</f>
        <v>0</v>
      </c>
      <c r="X9" s="44">
        <f>'CMP375'!W6</f>
        <v>0</v>
      </c>
      <c r="Y9" s="44">
        <f>'CMP375'!X6</f>
        <v>0</v>
      </c>
      <c r="Z9" s="2"/>
    </row>
    <row r="10" spans="2:30" s="7" customFormat="1">
      <c r="B10" s="15" t="s">
        <v>11</v>
      </c>
      <c r="C10" s="44">
        <f>'CMP375'!B7</f>
        <v>20</v>
      </c>
      <c r="D10" s="44">
        <f>'CMP375'!C7</f>
        <v>11000000</v>
      </c>
      <c r="E10" s="45">
        <f>'CMP375'!D7</f>
        <v>0</v>
      </c>
      <c r="F10" s="45">
        <f>'CMP375'!E7</f>
        <v>0</v>
      </c>
      <c r="G10" s="44">
        <f>'CMP375'!F7</f>
        <v>50</v>
      </c>
      <c r="H10" s="44">
        <f>'CMP375'!G7</f>
        <v>0</v>
      </c>
      <c r="I10" s="44">
        <f>'CMP375'!H7</f>
        <v>2500</v>
      </c>
      <c r="J10" s="44">
        <f>'CMP375'!I7</f>
        <v>125000</v>
      </c>
      <c r="K10" s="44">
        <f>'CMP375'!J7</f>
        <v>11000000</v>
      </c>
      <c r="L10" s="44">
        <f>'CMP375'!K7</f>
        <v>220</v>
      </c>
      <c r="M10" s="46">
        <f>'CMP375'!L7</f>
        <v>4.6550200449541529E-2</v>
      </c>
      <c r="N10" s="46">
        <f>'CMP375'!M7</f>
        <v>1.7999999999999999E-2</v>
      </c>
      <c r="O10" s="44">
        <f>'CMP375'!N7</f>
        <v>14.201044098899137</v>
      </c>
      <c r="P10" s="44">
        <f>'CMP375'!O7</f>
        <v>2500000</v>
      </c>
      <c r="Q10" s="44">
        <f>'CMP375'!P7</f>
        <v>35502610.247247845</v>
      </c>
      <c r="R10" s="44">
        <f>'CMP375'!Q7</f>
        <v>0</v>
      </c>
      <c r="S10" s="44">
        <f>'CMP375'!R7</f>
        <v>0</v>
      </c>
      <c r="T10" s="44">
        <f>'CMP375'!S7</f>
        <v>0</v>
      </c>
      <c r="U10" s="46">
        <f>'CMP375'!T7</f>
        <v>4.6550200449541529E-2</v>
      </c>
      <c r="V10" s="46">
        <f>'CMP375'!U7</f>
        <v>1.7999999999999999E-2</v>
      </c>
      <c r="W10" s="47">
        <f>'CMP375'!V7</f>
        <v>0</v>
      </c>
      <c r="X10" s="44">
        <f>'CMP375'!W7</f>
        <v>0</v>
      </c>
      <c r="Y10" s="44">
        <f>'CMP375'!X7</f>
        <v>0</v>
      </c>
      <c r="Z10" s="2"/>
    </row>
    <row r="11" spans="2:30" s="7" customFormat="1">
      <c r="B11" s="15" t="s">
        <v>4</v>
      </c>
      <c r="C11" s="44">
        <f>'CMP375'!B8</f>
        <v>15</v>
      </c>
      <c r="D11" s="44">
        <f>'CMP375'!C8</f>
        <v>8625000</v>
      </c>
      <c r="E11" s="45">
        <f>'CMP375'!D8</f>
        <v>0</v>
      </c>
      <c r="F11" s="45">
        <f>'CMP375'!E8</f>
        <v>0</v>
      </c>
      <c r="G11" s="44">
        <f>'CMP375'!F8</f>
        <v>50</v>
      </c>
      <c r="H11" s="44">
        <f>'CMP375'!G8</f>
        <v>0</v>
      </c>
      <c r="I11" s="44">
        <f>'CMP375'!H8</f>
        <v>2700</v>
      </c>
      <c r="J11" s="44">
        <f>'CMP375'!I8</f>
        <v>135000</v>
      </c>
      <c r="K11" s="44">
        <f>'CMP375'!J8</f>
        <v>8625000</v>
      </c>
      <c r="L11" s="44">
        <f>'CMP375'!K8</f>
        <v>212.96296296296296</v>
      </c>
      <c r="M11" s="46">
        <f>'CMP375'!L8</f>
        <v>4.6550200449541529E-2</v>
      </c>
      <c r="N11" s="46">
        <f>'CMP375'!M8</f>
        <v>1.7999999999999999E-2</v>
      </c>
      <c r="O11" s="44">
        <f>'CMP375'!N8</f>
        <v>13.746801947587548</v>
      </c>
      <c r="P11" s="44">
        <f>'CMP375'!O8</f>
        <v>2025000</v>
      </c>
      <c r="Q11" s="44">
        <f>'CMP375'!P8</f>
        <v>27837273.943864785</v>
      </c>
      <c r="R11" s="44">
        <f>'CMP375'!Q8</f>
        <v>0</v>
      </c>
      <c r="S11" s="44">
        <f>'CMP375'!R8</f>
        <v>0</v>
      </c>
      <c r="T11" s="44">
        <f>'CMP375'!S8</f>
        <v>0</v>
      </c>
      <c r="U11" s="46">
        <f>'CMP375'!T8</f>
        <v>4.6550200449541529E-2</v>
      </c>
      <c r="V11" s="46">
        <f>'CMP375'!U8</f>
        <v>1.7999999999999999E-2</v>
      </c>
      <c r="W11" s="47">
        <f>'CMP375'!V8</f>
        <v>0</v>
      </c>
      <c r="X11" s="44">
        <f>'CMP375'!W8</f>
        <v>0</v>
      </c>
      <c r="Y11" s="44">
        <f>'CMP375'!X8</f>
        <v>0</v>
      </c>
      <c r="Z11" s="2"/>
    </row>
    <row r="12" spans="2:30" s="7" customFormat="1">
      <c r="B12" s="15" t="s">
        <v>5</v>
      </c>
      <c r="C12" s="44">
        <f>'CMP375'!B9</f>
        <v>75</v>
      </c>
      <c r="D12" s="44">
        <f>'CMP375'!C9</f>
        <v>52500000</v>
      </c>
      <c r="E12" s="45">
        <f>'CMP375'!D9</f>
        <v>0</v>
      </c>
      <c r="F12" s="45">
        <f>'CMP375'!E9</f>
        <v>0</v>
      </c>
      <c r="G12" s="44">
        <f>'CMP375'!F9</f>
        <v>50</v>
      </c>
      <c r="H12" s="44">
        <f>'CMP375'!G9</f>
        <v>0</v>
      </c>
      <c r="I12" s="44">
        <f>'CMP375'!H9</f>
        <v>3120</v>
      </c>
      <c r="J12" s="44">
        <f>'CMP375'!I9</f>
        <v>156000</v>
      </c>
      <c r="K12" s="44">
        <f>'CMP375'!J9</f>
        <v>52500000</v>
      </c>
      <c r="L12" s="44">
        <f>'CMP375'!K9</f>
        <v>224.35897435897436</v>
      </c>
      <c r="M12" s="46">
        <f>'CMP375'!L9</f>
        <v>4.6550200449541529E-2</v>
      </c>
      <c r="N12" s="46">
        <f>'CMP375'!M9</f>
        <v>1.7999999999999999E-2</v>
      </c>
      <c r="O12" s="44">
        <f>'CMP375'!N9</f>
        <v>14.482416767525343</v>
      </c>
      <c r="P12" s="44">
        <f>'CMP375'!O9</f>
        <v>11700000</v>
      </c>
      <c r="Q12" s="44">
        <f>'CMP375'!P9</f>
        <v>169444276.18004653</v>
      </c>
      <c r="R12" s="44">
        <f>'CMP375'!Q9</f>
        <v>0</v>
      </c>
      <c r="S12" s="44">
        <f>'CMP375'!R9</f>
        <v>0</v>
      </c>
      <c r="T12" s="44">
        <f>'CMP375'!S9</f>
        <v>0</v>
      </c>
      <c r="U12" s="46">
        <f>'CMP375'!T9</f>
        <v>4.6550200449541529E-2</v>
      </c>
      <c r="V12" s="46">
        <f>'CMP375'!U9</f>
        <v>1.7999999999999999E-2</v>
      </c>
      <c r="W12" s="47">
        <f>'CMP375'!V9</f>
        <v>0</v>
      </c>
      <c r="X12" s="44">
        <f>'CMP375'!W9</f>
        <v>0</v>
      </c>
      <c r="Y12" s="44">
        <f>'CMP375'!X9</f>
        <v>0</v>
      </c>
      <c r="Z12" s="2"/>
    </row>
    <row r="13" spans="2:30" s="7" customFormat="1">
      <c r="B13" s="15" t="s">
        <v>6</v>
      </c>
      <c r="C13" s="45">
        <f>'CMP375'!B10</f>
        <v>75</v>
      </c>
      <c r="D13" s="44">
        <f>'CMP375'!C10</f>
        <v>18750000</v>
      </c>
      <c r="E13" s="45">
        <f>'CMP375'!D10</f>
        <v>30</v>
      </c>
      <c r="F13" s="45">
        <f>'CMP375'!E10</f>
        <v>50</v>
      </c>
      <c r="G13" s="45">
        <f>'CMP375'!F10</f>
        <v>50</v>
      </c>
      <c r="H13" s="44">
        <f>'CMP375'!G10</f>
        <v>2000</v>
      </c>
      <c r="I13" s="44">
        <f>'CMP375'!H10</f>
        <v>2500</v>
      </c>
      <c r="J13" s="44">
        <f>'CMP375'!I10</f>
        <v>10000</v>
      </c>
      <c r="K13" s="44">
        <f>'CMP375'!J10</f>
        <v>18750000</v>
      </c>
      <c r="L13" s="44">
        <f>'CMP375'!K10</f>
        <v>500</v>
      </c>
      <c r="M13" s="46">
        <f>'CMP375'!L10</f>
        <v>7.3581750328628834E-2</v>
      </c>
      <c r="N13" s="46">
        <f>'CMP375'!M10</f>
        <v>7.1999999999999998E-3</v>
      </c>
      <c r="O13" s="44">
        <f>'CMP375'!N10</f>
        <v>40.390875164314416</v>
      </c>
      <c r="P13" s="44">
        <f>'CMP375'!O10</f>
        <v>750000</v>
      </c>
      <c r="Q13" s="44">
        <f>'CMP375'!P10</f>
        <v>30293156.373235811</v>
      </c>
      <c r="R13" s="44">
        <f>'CMP375'!Q10</f>
        <v>0</v>
      </c>
      <c r="S13" s="44">
        <f>'CMP375'!R10</f>
        <v>0</v>
      </c>
      <c r="T13" s="44">
        <f>'CMP375'!S10</f>
        <v>0</v>
      </c>
      <c r="U13" s="46">
        <f>'CMP375'!T10</f>
        <v>0</v>
      </c>
      <c r="V13" s="46">
        <f>'CMP375'!U10</f>
        <v>0</v>
      </c>
      <c r="W13" s="47">
        <f>'CMP375'!V10</f>
        <v>0</v>
      </c>
      <c r="X13" s="44">
        <f>'CMP375'!W10</f>
        <v>0</v>
      </c>
      <c r="Y13" s="44">
        <f>'CMP375'!X10</f>
        <v>0</v>
      </c>
      <c r="Z13" s="2"/>
    </row>
    <row r="14" spans="2:30" s="7" customFormat="1">
      <c r="B14" s="15" t="s">
        <v>7</v>
      </c>
      <c r="C14" s="45">
        <f>'CMP375'!B11</f>
        <v>50</v>
      </c>
      <c r="D14" s="44">
        <f>'CMP375'!C11</f>
        <v>7500000</v>
      </c>
      <c r="E14" s="45">
        <f>'CMP375'!D11</f>
        <v>40</v>
      </c>
      <c r="F14" s="45">
        <f>'CMP375'!E11</f>
        <v>50</v>
      </c>
      <c r="G14" s="45">
        <f>'CMP375'!F11</f>
        <v>70</v>
      </c>
      <c r="H14" s="44">
        <f>'CMP375'!G11</f>
        <v>1750</v>
      </c>
      <c r="I14" s="44">
        <f>'CMP375'!H11</f>
        <v>1750</v>
      </c>
      <c r="J14" s="44">
        <f>'CMP375'!I11</f>
        <v>0</v>
      </c>
      <c r="K14" s="44">
        <f>'CMP375'!J11</f>
        <v>0</v>
      </c>
      <c r="L14" s="44">
        <f>'CMP375'!K11</f>
        <v>0</v>
      </c>
      <c r="M14" s="46">
        <f>'CMP375'!L11</f>
        <v>5.78300991336613E-2</v>
      </c>
      <c r="N14" s="46">
        <f>'CMP375'!M11</f>
        <v>1.0799999999999999E-2</v>
      </c>
      <c r="O14" s="44">
        <f>'CMP375'!N11</f>
        <v>0</v>
      </c>
      <c r="P14" s="44">
        <f>'CMP375'!O11</f>
        <v>0</v>
      </c>
      <c r="Q14" s="44">
        <f>'CMP375'!P11</f>
        <v>0</v>
      </c>
      <c r="R14" s="44">
        <f>'CMP375'!Q11</f>
        <v>35000</v>
      </c>
      <c r="S14" s="44">
        <f>'CMP375'!R11</f>
        <v>7500000</v>
      </c>
      <c r="T14" s="44">
        <f>'CMP375'!S11</f>
        <v>85.714285714285708</v>
      </c>
      <c r="U14" s="46">
        <f>'CMP375'!T11</f>
        <v>7.3581750328628834E-2</v>
      </c>
      <c r="V14" s="46">
        <f>'CMP375'!U11</f>
        <v>7.1999999999999998E-3</v>
      </c>
      <c r="W14" s="47">
        <f>'CMP375'!V11</f>
        <v>6.9241500281681851</v>
      </c>
      <c r="X14" s="44">
        <f>'CMP375'!W11</f>
        <v>1750000</v>
      </c>
      <c r="Y14" s="44">
        <f>'CMP375'!X11</f>
        <v>12117262.549294325</v>
      </c>
      <c r="Z14" s="2"/>
    </row>
    <row r="15" spans="2:30" s="7" customFormat="1">
      <c r="B15" s="15" t="s">
        <v>8</v>
      </c>
      <c r="C15" s="45">
        <f>'CMP375'!B12</f>
        <v>350</v>
      </c>
      <c r="D15" s="44">
        <f>'CMP375'!C12</f>
        <v>61250000</v>
      </c>
      <c r="E15" s="45">
        <f>'CMP375'!D12</f>
        <v>45</v>
      </c>
      <c r="F15" s="45">
        <f>'CMP375'!E12</f>
        <v>50</v>
      </c>
      <c r="G15" s="45">
        <f>'CMP375'!F12</f>
        <v>70</v>
      </c>
      <c r="H15" s="44">
        <f>'CMP375'!G12</f>
        <v>2750</v>
      </c>
      <c r="I15" s="44">
        <f>'CMP375'!H12</f>
        <v>3150</v>
      </c>
      <c r="J15" s="44">
        <f>'CMP375'!I12</f>
        <v>10000</v>
      </c>
      <c r="K15" s="44">
        <f>'CMP375'!J12</f>
        <v>9423076.9230769239</v>
      </c>
      <c r="L15" s="44">
        <f>'CMP375'!K12</f>
        <v>67.307692307692321</v>
      </c>
      <c r="M15" s="46">
        <f>'CMP375'!L12</f>
        <v>6.401196278645456E-2</v>
      </c>
      <c r="N15" s="46">
        <f>'CMP375'!M12</f>
        <v>8.9999999999999993E-3</v>
      </c>
      <c r="O15" s="44">
        <f>'CMP375'!N12</f>
        <v>4.9142667260113653</v>
      </c>
      <c r="P15" s="44">
        <f>'CMP375'!O12</f>
        <v>3500000</v>
      </c>
      <c r="Q15" s="44">
        <f>'CMP375'!P12</f>
        <v>17199933.54103978</v>
      </c>
      <c r="R15" s="44">
        <f>'CMP375'!Q12</f>
        <v>55000</v>
      </c>
      <c r="S15" s="44">
        <f>'CMP375'!R12</f>
        <v>51826923.07692308</v>
      </c>
      <c r="T15" s="44">
        <f>'CMP375'!S12</f>
        <v>53.846153846153847</v>
      </c>
      <c r="U15" s="46">
        <f>'CMP375'!T12</f>
        <v>7.3581750328628834E-2</v>
      </c>
      <c r="V15" s="46">
        <f>'CMP375'!U12</f>
        <v>7.1999999999999998E-3</v>
      </c>
      <c r="W15" s="47">
        <f>'CMP375'!V12</f>
        <v>4.3497865561569373</v>
      </c>
      <c r="X15" s="44">
        <f>'CMP375'!W12</f>
        <v>19250000</v>
      </c>
      <c r="Y15" s="44">
        <f>'CMP375'!X12</f>
        <v>83733391.206021041</v>
      </c>
      <c r="Z15" s="2"/>
    </row>
    <row r="16" spans="2:30" s="7" customFormat="1">
      <c r="J16" s="42"/>
    </row>
    <row r="17" spans="2:11">
      <c r="B17" s="7"/>
      <c r="C17" s="7"/>
      <c r="D17" s="7"/>
      <c r="E17" s="7"/>
      <c r="F17" s="7"/>
      <c r="G17" s="7"/>
      <c r="H17" s="4"/>
      <c r="I17" s="7"/>
      <c r="J17" s="7"/>
      <c r="K17" s="7"/>
    </row>
    <row r="18" spans="2:11" s="12" customFormat="1">
      <c r="B18" s="11" t="s">
        <v>31</v>
      </c>
    </row>
    <row r="19" spans="2:11" s="9" customFormat="1">
      <c r="B19" s="9" t="s">
        <v>21</v>
      </c>
    </row>
    <row r="20" spans="2:11" s="9" customFormat="1">
      <c r="B20" s="9" t="s">
        <v>12</v>
      </c>
    </row>
    <row r="21" spans="2:11" s="10" customFormat="1">
      <c r="B21" s="10" t="s">
        <v>28</v>
      </c>
    </row>
    <row r="24" spans="2:11" ht="28.8">
      <c r="B24" s="16" t="s">
        <v>13</v>
      </c>
      <c r="C24" s="17" t="s">
        <v>14</v>
      </c>
      <c r="D24" s="18" t="s">
        <v>17</v>
      </c>
      <c r="E24" s="18" t="s">
        <v>18</v>
      </c>
    </row>
    <row r="25" spans="2:11">
      <c r="B25" s="19" t="s">
        <v>15</v>
      </c>
      <c r="C25" s="20">
        <v>132</v>
      </c>
      <c r="D25" s="21">
        <v>6.1235584242945916E-2</v>
      </c>
      <c r="E25" s="21">
        <v>0.93876441575705405</v>
      </c>
    </row>
    <row r="26" spans="2:11">
      <c r="B26" s="19" t="s">
        <v>15</v>
      </c>
      <c r="C26" s="20">
        <v>275</v>
      </c>
      <c r="D26" s="21">
        <v>6.1986089403225475E-2</v>
      </c>
      <c r="E26" s="21">
        <v>0.93801391059677452</v>
      </c>
    </row>
    <row r="27" spans="2:11">
      <c r="B27" s="19" t="s">
        <v>15</v>
      </c>
      <c r="C27" s="20">
        <v>400</v>
      </c>
      <c r="D27" s="21">
        <v>0.27981710733482085</v>
      </c>
      <c r="E27" s="21">
        <v>0.72018289266517921</v>
      </c>
    </row>
    <row r="28" spans="2:11">
      <c r="B28" s="19" t="s">
        <v>16</v>
      </c>
      <c r="C28" s="20">
        <f>C25</f>
        <v>132</v>
      </c>
      <c r="D28" s="21">
        <v>0.16046970426377447</v>
      </c>
      <c r="E28" s="21">
        <v>0.83953029573622562</v>
      </c>
    </row>
    <row r="29" spans="2:11">
      <c r="B29" s="19" t="s">
        <v>16</v>
      </c>
      <c r="C29" s="20">
        <f t="shared" ref="C29:C30" si="0">C26</f>
        <v>275</v>
      </c>
      <c r="D29" s="21">
        <v>0.38095082047794987</v>
      </c>
      <c r="E29" s="21">
        <v>0.61904917952205019</v>
      </c>
    </row>
    <row r="30" spans="2:11">
      <c r="B30" s="19" t="s">
        <v>16</v>
      </c>
      <c r="C30" s="20">
        <f t="shared" si="0"/>
        <v>400</v>
      </c>
      <c r="D30" s="22">
        <v>1</v>
      </c>
      <c r="E30" s="21">
        <v>0</v>
      </c>
    </row>
    <row r="31" spans="2:11">
      <c r="D31" s="13" t="s">
        <v>19</v>
      </c>
      <c r="E31" s="14"/>
    </row>
    <row r="33" spans="2:6" s="12" customFormat="1">
      <c r="B33" s="11" t="s">
        <v>32</v>
      </c>
    </row>
    <row r="34" spans="2:6" s="9" customFormat="1">
      <c r="B34" s="9" t="s">
        <v>20</v>
      </c>
    </row>
    <row r="35" spans="2:6" s="9" customFormat="1">
      <c r="B35" s="9" t="s">
        <v>51</v>
      </c>
    </row>
    <row r="36" spans="2:6" s="10" customFormat="1">
      <c r="B36" s="10" t="s">
        <v>29</v>
      </c>
    </row>
    <row r="38" spans="2:6">
      <c r="B38" s="8"/>
    </row>
    <row r="39" spans="2:6" ht="45.75" customHeight="1">
      <c r="B39" s="18" t="s">
        <v>22</v>
      </c>
      <c r="C39" s="23" t="s">
        <v>49</v>
      </c>
      <c r="D39" s="23" t="s">
        <v>50</v>
      </c>
      <c r="E39" s="23" t="s">
        <v>26</v>
      </c>
      <c r="F39" s="23" t="s">
        <v>27</v>
      </c>
    </row>
    <row r="40" spans="2:6">
      <c r="B40" s="19" t="s">
        <v>23</v>
      </c>
      <c r="C40" s="48">
        <f>SUM(P9:P12, X9:X12)</f>
        <v>17225000</v>
      </c>
      <c r="D40" s="48">
        <f>SUM(Q9:Q12, Y9:Y12)</f>
        <v>248921710.48354453</v>
      </c>
      <c r="E40" s="24">
        <f>D40/C40</f>
        <v>14.451187836490249</v>
      </c>
      <c r="F40" s="21">
        <f>D27</f>
        <v>0.27981710733482085</v>
      </c>
    </row>
    <row r="41" spans="2:6">
      <c r="B41" s="19" t="s">
        <v>24</v>
      </c>
      <c r="C41" s="48">
        <f>SUM(P13:P15, X13:X15)</f>
        <v>25250000</v>
      </c>
      <c r="D41" s="48">
        <f>SUM(Q13:Q15, Y13:Y15)</f>
        <v>143343743.66959095</v>
      </c>
      <c r="E41" s="24">
        <f>D41/C41</f>
        <v>5.6769799473105325</v>
      </c>
      <c r="F41" s="21">
        <f>E27</f>
        <v>0.72018289266517921</v>
      </c>
    </row>
    <row r="43" spans="2:6" ht="28.8">
      <c r="B43" s="18" t="s">
        <v>25</v>
      </c>
      <c r="C43" s="25">
        <f>SUMPRODUCT(E40:E41, F40:F41)</f>
        <v>8.1321534180151644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74150-6F73-4592-8E96-2C619DCD6A93}">
  <sheetPr>
    <tabColor theme="5" tint="0.79998168889431442"/>
  </sheetPr>
  <dimension ref="A4:AD55"/>
  <sheetViews>
    <sheetView tabSelected="1" zoomScale="70" zoomScaleNormal="70" workbookViewId="0">
      <selection activeCell="F54" sqref="F54"/>
    </sheetView>
  </sheetViews>
  <sheetFormatPr defaultColWidth="9.109375" defaultRowHeight="14.4"/>
  <cols>
    <col min="1" max="1" width="12.88671875" style="7" bestFit="1" customWidth="1"/>
    <col min="2" max="2" width="22.109375" style="7" bestFit="1" customWidth="1"/>
    <col min="3" max="3" width="12.109375" style="7" bestFit="1" customWidth="1"/>
    <col min="4" max="9" width="9.109375" style="7"/>
    <col min="10" max="10" width="12.109375" style="7" bestFit="1" customWidth="1"/>
    <col min="11" max="11" width="9.109375" style="7"/>
    <col min="12" max="12" width="12.44140625" style="7" customWidth="1"/>
    <col min="13" max="13" width="9.44140625" style="7" customWidth="1"/>
    <col min="14" max="14" width="9.109375" style="7"/>
    <col min="15" max="15" width="21.6640625" style="7" customWidth="1"/>
    <col min="16" max="16" width="13.109375" style="7" bestFit="1" customWidth="1"/>
    <col min="17" max="17" width="15.5546875" style="7" bestFit="1" customWidth="1"/>
    <col min="18" max="18" width="15.5546875" style="7" customWidth="1"/>
    <col min="19" max="19" width="15" style="7" customWidth="1"/>
    <col min="20" max="20" width="8.44140625" style="7" bestFit="1" customWidth="1"/>
    <col min="21" max="21" width="9.6640625" style="7" customWidth="1"/>
    <col min="22" max="22" width="17.6640625" style="7" bestFit="1" customWidth="1"/>
    <col min="23" max="23" width="12.44140625" style="7" bestFit="1" customWidth="1"/>
    <col min="24" max="24" width="13.5546875" style="7" bestFit="1" customWidth="1"/>
    <col min="25" max="28" width="9.109375" style="7"/>
    <col min="29" max="29" width="11.88671875" style="7" bestFit="1" customWidth="1"/>
    <col min="30" max="16384" width="9.109375" style="7"/>
  </cols>
  <sheetData>
    <row r="4" spans="1:30">
      <c r="A4" s="8"/>
      <c r="I4" s="26" t="s">
        <v>33</v>
      </c>
      <c r="J4" s="27"/>
      <c r="K4" s="28"/>
      <c r="L4" s="28"/>
      <c r="M4" s="28"/>
      <c r="N4" s="28"/>
      <c r="O4" s="28"/>
      <c r="P4" s="29"/>
      <c r="Q4" s="30" t="s">
        <v>34</v>
      </c>
      <c r="R4" s="31"/>
      <c r="S4" s="32"/>
      <c r="T4" s="32"/>
      <c r="U4" s="32"/>
      <c r="V4" s="32"/>
      <c r="W4" s="32"/>
      <c r="X4" s="33"/>
      <c r="AB4" s="8"/>
    </row>
    <row r="5" spans="1:30" ht="72">
      <c r="A5" s="6"/>
      <c r="B5" s="6" t="s">
        <v>0</v>
      </c>
      <c r="C5" s="6" t="s">
        <v>35</v>
      </c>
      <c r="D5" s="6" t="s">
        <v>36</v>
      </c>
      <c r="E5" s="6" t="s">
        <v>37</v>
      </c>
      <c r="F5" s="6" t="s">
        <v>38</v>
      </c>
      <c r="G5" s="6" t="s">
        <v>2</v>
      </c>
      <c r="H5" s="6" t="s">
        <v>1</v>
      </c>
      <c r="I5" s="34" t="s">
        <v>39</v>
      </c>
      <c r="J5" s="6" t="s">
        <v>40</v>
      </c>
      <c r="K5" s="6" t="s">
        <v>41</v>
      </c>
      <c r="L5" s="6" t="s">
        <v>9</v>
      </c>
      <c r="M5" s="6" t="s">
        <v>42</v>
      </c>
      <c r="N5" s="6" t="s">
        <v>43</v>
      </c>
      <c r="O5" s="6" t="s">
        <v>44</v>
      </c>
      <c r="P5" s="35" t="s">
        <v>45</v>
      </c>
      <c r="Q5" s="34" t="s">
        <v>46</v>
      </c>
      <c r="R5" s="6" t="s">
        <v>47</v>
      </c>
      <c r="S5" s="6" t="s">
        <v>41</v>
      </c>
      <c r="T5" s="6" t="s">
        <v>9</v>
      </c>
      <c r="U5" s="6" t="s">
        <v>42</v>
      </c>
      <c r="V5" s="6" t="s">
        <v>43</v>
      </c>
      <c r="W5" s="6" t="s">
        <v>44</v>
      </c>
      <c r="X5" s="35" t="s">
        <v>45</v>
      </c>
      <c r="Y5" s="6"/>
      <c r="Z5" s="6"/>
      <c r="AA5" s="6"/>
      <c r="AB5" s="6"/>
      <c r="AC5" s="6"/>
      <c r="AD5" s="6"/>
    </row>
    <row r="6" spans="1:30">
      <c r="A6" s="7" t="s">
        <v>3</v>
      </c>
      <c r="B6" s="1">
        <v>10</v>
      </c>
      <c r="C6" s="1">
        <v>5000000</v>
      </c>
      <c r="D6" s="5">
        <v>0</v>
      </c>
      <c r="E6" s="5">
        <v>0</v>
      </c>
      <c r="F6" s="1">
        <v>50</v>
      </c>
      <c r="G6" s="1">
        <v>0</v>
      </c>
      <c r="H6" s="1">
        <v>2000</v>
      </c>
      <c r="I6" s="2">
        <f>+(H6-G6)*(F6-D6)</f>
        <v>100000</v>
      </c>
      <c r="J6" s="2">
        <f>+I6*$C6/($I6+$Q6)</f>
        <v>5000000</v>
      </c>
      <c r="K6" s="2">
        <f>IF((H6-G6)&gt;0,J6/((H6-G6)*B6),0)</f>
        <v>250</v>
      </c>
      <c r="L6" s="36">
        <f t="shared" ref="L6:L12" si="0">WACC/(1-(1+WACC)^-(F6-D6))</f>
        <v>4.6550200449541529E-2</v>
      </c>
      <c r="M6" s="36">
        <f t="shared" ref="M6:M12" si="1">Overheads*(F6-D6)/50</f>
        <v>1.7999999999999999E-2</v>
      </c>
      <c r="N6" s="2">
        <f>+K6*(L6+M6)</f>
        <v>16.137550112385384</v>
      </c>
      <c r="O6" s="2">
        <f>+B6*I6</f>
        <v>1000000</v>
      </c>
      <c r="P6" s="2">
        <f>+B6*I6*N6</f>
        <v>16137550.112385383</v>
      </c>
      <c r="Q6" s="37">
        <f>+(F6-E6)*G6</f>
        <v>0</v>
      </c>
      <c r="R6" s="2">
        <f>+Q6*$C6/($I6+$Q6)</f>
        <v>0</v>
      </c>
      <c r="S6" s="2">
        <f>IF(G6&gt;0,+R6/(G6*B6),0)</f>
        <v>0</v>
      </c>
      <c r="T6" s="36">
        <f t="shared" ref="T6:T12" si="2">IF((F6-E6)&gt;0,WACC/(1-(1+WACC)^-(F6-E6)),0)</f>
        <v>4.6550200449541529E-2</v>
      </c>
      <c r="U6" s="36">
        <f t="shared" ref="U6:U12" si="3">Overheads*(F6-E6)/50</f>
        <v>1.7999999999999999E-2</v>
      </c>
      <c r="V6" s="3">
        <f>S6*(T6+U6)</f>
        <v>0</v>
      </c>
      <c r="W6" s="2">
        <f>$B6*Q6</f>
        <v>0</v>
      </c>
      <c r="X6" s="38">
        <f>$B6*Q6*V6</f>
        <v>0</v>
      </c>
      <c r="Z6" s="2"/>
    </row>
    <row r="7" spans="1:30">
      <c r="A7" s="7" t="s">
        <v>11</v>
      </c>
      <c r="B7" s="1">
        <v>20</v>
      </c>
      <c r="C7" s="1">
        <v>11000000</v>
      </c>
      <c r="D7" s="5">
        <v>0</v>
      </c>
      <c r="E7" s="5">
        <v>0</v>
      </c>
      <c r="F7" s="1">
        <v>50</v>
      </c>
      <c r="G7" s="1">
        <v>0</v>
      </c>
      <c r="H7" s="1">
        <v>2500</v>
      </c>
      <c r="I7" s="2">
        <f t="shared" ref="I7:I12" si="4">+(H7-G7)*(F7-D7)</f>
        <v>125000</v>
      </c>
      <c r="J7" s="2">
        <f t="shared" ref="J7:J12" si="5">+I7*$C7/($I7+$Q7)</f>
        <v>11000000</v>
      </c>
      <c r="K7" s="2">
        <f t="shared" ref="K7:K12" si="6">IF((H7-G7)&gt;0,J7/((H7-G7)*B7),0)</f>
        <v>220</v>
      </c>
      <c r="L7" s="36">
        <f t="shared" si="0"/>
        <v>4.6550200449541529E-2</v>
      </c>
      <c r="M7" s="36">
        <f t="shared" si="1"/>
        <v>1.7999999999999999E-2</v>
      </c>
      <c r="N7" s="2">
        <f t="shared" ref="N7:N12" si="7">+K7*(L7+M7)</f>
        <v>14.201044098899137</v>
      </c>
      <c r="O7" s="2">
        <f t="shared" ref="O7:O12" si="8">+B7*I7</f>
        <v>2500000</v>
      </c>
      <c r="P7" s="2">
        <f t="shared" ref="P7:P12" si="9">+B7*I7*N7</f>
        <v>35502610.247247845</v>
      </c>
      <c r="Q7" s="37">
        <f t="shared" ref="Q7:Q12" si="10">+(F7-E7)*G7</f>
        <v>0</v>
      </c>
      <c r="R7" s="2">
        <f t="shared" ref="R7:R12" si="11">+Q7*$C7/($I7+$Q7)</f>
        <v>0</v>
      </c>
      <c r="S7" s="2">
        <f t="shared" ref="S7:S12" si="12">IF(G7&gt;0,+R7/(G7*B7),0)</f>
        <v>0</v>
      </c>
      <c r="T7" s="36">
        <f t="shared" si="2"/>
        <v>4.6550200449541529E-2</v>
      </c>
      <c r="U7" s="36">
        <f t="shared" si="3"/>
        <v>1.7999999999999999E-2</v>
      </c>
      <c r="V7" s="3">
        <f t="shared" ref="V7:V11" si="13">S7*(T7+U7)</f>
        <v>0</v>
      </c>
      <c r="W7" s="2">
        <f t="shared" ref="W7:W12" si="14">$B7*Q7</f>
        <v>0</v>
      </c>
      <c r="X7" s="38">
        <f t="shared" ref="X7:X12" si="15">$B7*Q7*V7</f>
        <v>0</v>
      </c>
      <c r="Z7" s="2"/>
    </row>
    <row r="8" spans="1:30">
      <c r="A8" s="7" t="s">
        <v>4</v>
      </c>
      <c r="B8" s="1">
        <v>15</v>
      </c>
      <c r="C8" s="1">
        <v>8625000</v>
      </c>
      <c r="D8" s="5">
        <v>0</v>
      </c>
      <c r="E8" s="5">
        <v>0</v>
      </c>
      <c r="F8" s="1">
        <v>50</v>
      </c>
      <c r="G8" s="1">
        <v>0</v>
      </c>
      <c r="H8" s="1">
        <v>2700</v>
      </c>
      <c r="I8" s="2">
        <f t="shared" si="4"/>
        <v>135000</v>
      </c>
      <c r="J8" s="2">
        <f t="shared" si="5"/>
        <v>8625000</v>
      </c>
      <c r="K8" s="2">
        <f t="shared" si="6"/>
        <v>212.96296296296296</v>
      </c>
      <c r="L8" s="36">
        <f t="shared" si="0"/>
        <v>4.6550200449541529E-2</v>
      </c>
      <c r="M8" s="36">
        <f t="shared" si="1"/>
        <v>1.7999999999999999E-2</v>
      </c>
      <c r="N8" s="2">
        <f t="shared" si="7"/>
        <v>13.746801947587548</v>
      </c>
      <c r="O8" s="2">
        <f t="shared" si="8"/>
        <v>2025000</v>
      </c>
      <c r="P8" s="2">
        <f t="shared" si="9"/>
        <v>27837273.943864785</v>
      </c>
      <c r="Q8" s="37">
        <f t="shared" si="10"/>
        <v>0</v>
      </c>
      <c r="R8" s="2">
        <f t="shared" si="11"/>
        <v>0</v>
      </c>
      <c r="S8" s="2">
        <f t="shared" si="12"/>
        <v>0</v>
      </c>
      <c r="T8" s="36">
        <f t="shared" si="2"/>
        <v>4.6550200449541529E-2</v>
      </c>
      <c r="U8" s="36">
        <f t="shared" si="3"/>
        <v>1.7999999999999999E-2</v>
      </c>
      <c r="V8" s="3">
        <f t="shared" si="13"/>
        <v>0</v>
      </c>
      <c r="W8" s="2">
        <f t="shared" si="14"/>
        <v>0</v>
      </c>
      <c r="X8" s="38">
        <f t="shared" si="15"/>
        <v>0</v>
      </c>
      <c r="Z8" s="2"/>
    </row>
    <row r="9" spans="1:30">
      <c r="A9" s="7" t="s">
        <v>5</v>
      </c>
      <c r="B9" s="1">
        <v>75</v>
      </c>
      <c r="C9" s="1">
        <v>52500000</v>
      </c>
      <c r="D9" s="5">
        <v>0</v>
      </c>
      <c r="E9" s="5">
        <v>0</v>
      </c>
      <c r="F9" s="1">
        <v>50</v>
      </c>
      <c r="G9" s="1">
        <v>0</v>
      </c>
      <c r="H9" s="1">
        <v>3120</v>
      </c>
      <c r="I9" s="2">
        <f t="shared" si="4"/>
        <v>156000</v>
      </c>
      <c r="J9" s="2">
        <f t="shared" si="5"/>
        <v>52500000</v>
      </c>
      <c r="K9" s="2">
        <f t="shared" si="6"/>
        <v>224.35897435897436</v>
      </c>
      <c r="L9" s="36">
        <f t="shared" si="0"/>
        <v>4.6550200449541529E-2</v>
      </c>
      <c r="M9" s="36">
        <f t="shared" si="1"/>
        <v>1.7999999999999999E-2</v>
      </c>
      <c r="N9" s="2">
        <f t="shared" si="7"/>
        <v>14.482416767525343</v>
      </c>
      <c r="O9" s="2">
        <f t="shared" si="8"/>
        <v>11700000</v>
      </c>
      <c r="P9" s="2">
        <f t="shared" si="9"/>
        <v>169444276.18004653</v>
      </c>
      <c r="Q9" s="37">
        <f t="shared" si="10"/>
        <v>0</v>
      </c>
      <c r="R9" s="2">
        <f t="shared" si="11"/>
        <v>0</v>
      </c>
      <c r="S9" s="2">
        <f t="shared" si="12"/>
        <v>0</v>
      </c>
      <c r="T9" s="36">
        <f t="shared" si="2"/>
        <v>4.6550200449541529E-2</v>
      </c>
      <c r="U9" s="36">
        <f t="shared" si="3"/>
        <v>1.7999999999999999E-2</v>
      </c>
      <c r="V9" s="3">
        <f t="shared" si="13"/>
        <v>0</v>
      </c>
      <c r="W9" s="2">
        <f t="shared" si="14"/>
        <v>0</v>
      </c>
      <c r="X9" s="38">
        <f t="shared" si="15"/>
        <v>0</v>
      </c>
      <c r="Z9" s="2"/>
    </row>
    <row r="10" spans="1:30">
      <c r="A10" s="7" t="s">
        <v>6</v>
      </c>
      <c r="B10" s="5">
        <v>75</v>
      </c>
      <c r="C10" s="1">
        <v>18750000</v>
      </c>
      <c r="D10" s="5">
        <v>30</v>
      </c>
      <c r="E10" s="5">
        <v>50</v>
      </c>
      <c r="F10" s="5">
        <v>50</v>
      </c>
      <c r="G10" s="1">
        <v>2000</v>
      </c>
      <c r="H10" s="1">
        <v>2500</v>
      </c>
      <c r="I10" s="2">
        <f t="shared" si="4"/>
        <v>10000</v>
      </c>
      <c r="J10" s="2">
        <f t="shared" si="5"/>
        <v>18750000</v>
      </c>
      <c r="K10" s="2">
        <f t="shared" si="6"/>
        <v>500</v>
      </c>
      <c r="L10" s="36">
        <f t="shared" si="0"/>
        <v>7.3581750328628834E-2</v>
      </c>
      <c r="M10" s="36">
        <f t="shared" si="1"/>
        <v>7.1999999999999998E-3</v>
      </c>
      <c r="N10" s="2">
        <f t="shared" si="7"/>
        <v>40.390875164314416</v>
      </c>
      <c r="O10" s="2">
        <f t="shared" si="8"/>
        <v>750000</v>
      </c>
      <c r="P10" s="2">
        <f t="shared" si="9"/>
        <v>30293156.373235811</v>
      </c>
      <c r="Q10" s="37">
        <f t="shared" si="10"/>
        <v>0</v>
      </c>
      <c r="R10" s="2">
        <f t="shared" si="11"/>
        <v>0</v>
      </c>
      <c r="S10" s="2">
        <f t="shared" si="12"/>
        <v>0</v>
      </c>
      <c r="T10" s="36">
        <f t="shared" si="2"/>
        <v>0</v>
      </c>
      <c r="U10" s="36">
        <f t="shared" si="3"/>
        <v>0</v>
      </c>
      <c r="V10" s="3">
        <f t="shared" si="13"/>
        <v>0</v>
      </c>
      <c r="W10" s="2">
        <f t="shared" si="14"/>
        <v>0</v>
      </c>
      <c r="X10" s="38">
        <f t="shared" si="15"/>
        <v>0</v>
      </c>
      <c r="Z10" s="2"/>
    </row>
    <row r="11" spans="1:30">
      <c r="A11" s="7" t="s">
        <v>7</v>
      </c>
      <c r="B11" s="5">
        <v>50</v>
      </c>
      <c r="C11" s="1">
        <v>7500000</v>
      </c>
      <c r="D11" s="5">
        <v>40</v>
      </c>
      <c r="E11" s="5">
        <v>50</v>
      </c>
      <c r="F11" s="5">
        <v>70</v>
      </c>
      <c r="G11" s="1">
        <v>1750</v>
      </c>
      <c r="H11" s="1">
        <v>1750</v>
      </c>
      <c r="I11" s="2">
        <f t="shared" si="4"/>
        <v>0</v>
      </c>
      <c r="J11" s="2">
        <f t="shared" si="5"/>
        <v>0</v>
      </c>
      <c r="K11" s="2">
        <f t="shared" si="6"/>
        <v>0</v>
      </c>
      <c r="L11" s="36">
        <f t="shared" si="0"/>
        <v>5.78300991336613E-2</v>
      </c>
      <c r="M11" s="36">
        <f t="shared" si="1"/>
        <v>1.0799999999999999E-2</v>
      </c>
      <c r="N11" s="2">
        <f t="shared" si="7"/>
        <v>0</v>
      </c>
      <c r="O11" s="2">
        <f t="shared" si="8"/>
        <v>0</v>
      </c>
      <c r="P11" s="2">
        <f t="shared" si="9"/>
        <v>0</v>
      </c>
      <c r="Q11" s="37">
        <f t="shared" si="10"/>
        <v>35000</v>
      </c>
      <c r="R11" s="2">
        <f t="shared" si="11"/>
        <v>7500000</v>
      </c>
      <c r="S11" s="2">
        <f t="shared" si="12"/>
        <v>85.714285714285708</v>
      </c>
      <c r="T11" s="36">
        <f t="shared" si="2"/>
        <v>7.3581750328628834E-2</v>
      </c>
      <c r="U11" s="36">
        <f t="shared" si="3"/>
        <v>7.1999999999999998E-3</v>
      </c>
      <c r="V11" s="3">
        <f t="shared" si="13"/>
        <v>6.9241500281681851</v>
      </c>
      <c r="W11" s="2">
        <f t="shared" si="14"/>
        <v>1750000</v>
      </c>
      <c r="X11" s="38">
        <f>$B11*Q11*V11</f>
        <v>12117262.549294325</v>
      </c>
      <c r="Z11" s="2"/>
    </row>
    <row r="12" spans="1:30">
      <c r="A12" s="7" t="s">
        <v>8</v>
      </c>
      <c r="B12" s="5">
        <v>350</v>
      </c>
      <c r="C12" s="1">
        <v>61250000</v>
      </c>
      <c r="D12" s="5">
        <v>45</v>
      </c>
      <c r="E12" s="5">
        <v>50</v>
      </c>
      <c r="F12" s="5">
        <v>70</v>
      </c>
      <c r="G12" s="1">
        <v>2750</v>
      </c>
      <c r="H12" s="1">
        <v>3150</v>
      </c>
      <c r="I12" s="2">
        <f t="shared" si="4"/>
        <v>10000</v>
      </c>
      <c r="J12" s="2">
        <f t="shared" si="5"/>
        <v>9423076.9230769239</v>
      </c>
      <c r="K12" s="2">
        <f t="shared" si="6"/>
        <v>67.307692307692321</v>
      </c>
      <c r="L12" s="36">
        <f t="shared" si="0"/>
        <v>6.401196278645456E-2</v>
      </c>
      <c r="M12" s="36">
        <f t="shared" si="1"/>
        <v>8.9999999999999993E-3</v>
      </c>
      <c r="N12" s="2">
        <f t="shared" si="7"/>
        <v>4.9142667260113653</v>
      </c>
      <c r="O12" s="2">
        <f t="shared" si="8"/>
        <v>3500000</v>
      </c>
      <c r="P12" s="2">
        <f t="shared" si="9"/>
        <v>17199933.54103978</v>
      </c>
      <c r="Q12" s="37">
        <f t="shared" si="10"/>
        <v>55000</v>
      </c>
      <c r="R12" s="2">
        <f t="shared" si="11"/>
        <v>51826923.07692308</v>
      </c>
      <c r="S12" s="2">
        <f t="shared" si="12"/>
        <v>53.846153846153847</v>
      </c>
      <c r="T12" s="36">
        <f t="shared" si="2"/>
        <v>7.3581750328628834E-2</v>
      </c>
      <c r="U12" s="36">
        <f t="shared" si="3"/>
        <v>7.1999999999999998E-3</v>
      </c>
      <c r="V12" s="3">
        <f>S12*(T12+U12)</f>
        <v>4.3497865561569373</v>
      </c>
      <c r="W12" s="2">
        <f t="shared" si="14"/>
        <v>19250000</v>
      </c>
      <c r="X12" s="38">
        <f t="shared" si="15"/>
        <v>83733391.206021041</v>
      </c>
      <c r="Z12" s="2"/>
    </row>
    <row r="15" spans="1:30">
      <c r="V15" s="2" t="s">
        <v>10</v>
      </c>
      <c r="W15" s="2">
        <f>SUM(W6:W12,O6:O12)</f>
        <v>42475000</v>
      </c>
      <c r="X15" s="2">
        <f>SUM(X6:X12,P6:P12)</f>
        <v>392265454.15313548</v>
      </c>
    </row>
    <row r="16" spans="1:30">
      <c r="B16" s="8"/>
      <c r="C16" s="39"/>
      <c r="V16" s="8" t="s">
        <v>48</v>
      </c>
      <c r="X16" s="40">
        <f>X15/W15</f>
        <v>9.2352078670543953</v>
      </c>
    </row>
    <row r="17" spans="1:16">
      <c r="A17" s="8"/>
      <c r="B17" s="2"/>
      <c r="C17" s="3"/>
    </row>
    <row r="18" spans="1:16">
      <c r="A18" s="50"/>
      <c r="B18" s="51"/>
      <c r="C18" s="4"/>
      <c r="D18" s="50"/>
    </row>
    <row r="19" spans="1:16" ht="27.6" customHeight="1">
      <c r="A19" s="52"/>
      <c r="B19" s="52"/>
      <c r="C19" s="52"/>
      <c r="D19" s="52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</row>
    <row r="20" spans="1:16">
      <c r="A20" s="50"/>
      <c r="B20" s="51"/>
      <c r="C20" s="51"/>
      <c r="D20" s="50"/>
      <c r="F20" s="2"/>
      <c r="G20" s="2"/>
      <c r="H20" s="2"/>
      <c r="I20" s="2"/>
      <c r="J20" s="2"/>
      <c r="K20" s="41"/>
      <c r="L20" s="36"/>
      <c r="M20" s="36"/>
      <c r="N20" s="3"/>
      <c r="O20" s="2"/>
      <c r="P20" s="2"/>
    </row>
    <row r="21" spans="1:16">
      <c r="A21" s="50"/>
      <c r="B21" s="53"/>
      <c r="C21" s="51"/>
      <c r="D21" s="50"/>
      <c r="F21" s="2"/>
      <c r="G21" s="2"/>
      <c r="H21" s="2"/>
      <c r="I21" s="2"/>
      <c r="J21" s="2"/>
      <c r="K21" s="41"/>
      <c r="L21" s="36"/>
      <c r="M21" s="36"/>
      <c r="N21" s="3"/>
      <c r="O21" s="2"/>
      <c r="P21" s="2"/>
    </row>
    <row r="22" spans="1:16">
      <c r="A22" s="50"/>
      <c r="B22" s="51"/>
      <c r="C22" s="54"/>
      <c r="D22" s="50"/>
      <c r="F22" s="2"/>
      <c r="G22" s="2"/>
      <c r="H22" s="2"/>
      <c r="I22" s="2"/>
      <c r="J22" s="2"/>
      <c r="K22" s="41"/>
      <c r="L22" s="36"/>
      <c r="M22" s="36"/>
      <c r="N22" s="3"/>
      <c r="O22" s="2"/>
      <c r="P22" s="2"/>
    </row>
    <row r="23" spans="1:16">
      <c r="A23" s="50"/>
      <c r="B23" s="51"/>
      <c r="C23" s="54"/>
      <c r="D23" s="50"/>
      <c r="F23" s="2"/>
      <c r="G23" s="2"/>
      <c r="H23" s="2"/>
      <c r="I23" s="2"/>
      <c r="J23" s="2"/>
      <c r="K23" s="41"/>
      <c r="L23" s="36"/>
      <c r="M23" s="36"/>
      <c r="N23" s="3"/>
      <c r="O23" s="2"/>
      <c r="P23" s="2"/>
    </row>
    <row r="24" spans="1:16">
      <c r="A24" s="50"/>
      <c r="B24" s="50"/>
      <c r="C24" s="50"/>
      <c r="D24" s="50"/>
      <c r="F24" s="2"/>
      <c r="G24" s="2"/>
      <c r="H24" s="2"/>
      <c r="I24" s="2"/>
      <c r="J24" s="2"/>
      <c r="K24" s="41"/>
      <c r="L24" s="36"/>
      <c r="M24" s="36"/>
      <c r="N24" s="3"/>
      <c r="O24" s="2"/>
      <c r="P24" s="2"/>
    </row>
    <row r="25" spans="1:16">
      <c r="A25" s="50"/>
      <c r="B25" s="50"/>
      <c r="C25" s="50"/>
      <c r="D25" s="50"/>
      <c r="F25" s="2"/>
      <c r="G25" s="2"/>
      <c r="H25" s="2"/>
      <c r="I25" s="2"/>
      <c r="J25" s="2"/>
      <c r="K25" s="41"/>
      <c r="L25" s="36"/>
      <c r="M25" s="36"/>
      <c r="N25" s="3"/>
      <c r="O25" s="2"/>
      <c r="P25" s="2"/>
    </row>
    <row r="26" spans="1:16">
      <c r="A26" s="50"/>
      <c r="B26" s="50"/>
      <c r="C26" s="51"/>
      <c r="D26" s="50"/>
      <c r="G26" s="2"/>
      <c r="H26" s="2"/>
      <c r="I26" s="2"/>
      <c r="J26" s="2"/>
      <c r="K26" s="41"/>
      <c r="L26" s="36"/>
      <c r="M26" s="36"/>
      <c r="N26" s="3"/>
      <c r="O26" s="2"/>
      <c r="P26" s="2"/>
    </row>
    <row r="27" spans="1:16">
      <c r="A27" s="50"/>
      <c r="B27" s="50"/>
      <c r="C27" s="54"/>
      <c r="D27" s="50"/>
      <c r="G27" s="2"/>
      <c r="H27" s="2"/>
      <c r="I27" s="2"/>
      <c r="J27" s="2"/>
      <c r="K27" s="41"/>
      <c r="L27" s="36"/>
      <c r="M27" s="36"/>
      <c r="N27" s="3"/>
      <c r="O27" s="2"/>
      <c r="P27" s="2"/>
    </row>
    <row r="28" spans="1:16">
      <c r="A28" s="50"/>
      <c r="B28" s="50"/>
      <c r="C28" s="54"/>
      <c r="D28" s="50"/>
      <c r="G28" s="2"/>
      <c r="H28" s="2"/>
      <c r="I28" s="2"/>
      <c r="J28" s="2"/>
      <c r="K28" s="41"/>
      <c r="L28" s="36"/>
      <c r="M28" s="36"/>
      <c r="N28" s="3"/>
      <c r="O28" s="2"/>
      <c r="P28" s="2"/>
    </row>
    <row r="29" spans="1:16">
      <c r="A29" s="50"/>
      <c r="B29" s="50"/>
      <c r="C29" s="50"/>
      <c r="D29" s="50"/>
      <c r="N29" s="8"/>
      <c r="O29" s="8"/>
      <c r="P29" s="39"/>
    </row>
    <row r="30" spans="1:16">
      <c r="A30" s="50"/>
      <c r="B30" s="55"/>
      <c r="C30" s="50"/>
      <c r="D30" s="50"/>
    </row>
    <row r="31" spans="1:16">
      <c r="A31" s="55"/>
      <c r="B31" s="50"/>
      <c r="C31" s="4"/>
      <c r="D31" s="50"/>
    </row>
    <row r="32" spans="1:16">
      <c r="A32" s="50"/>
      <c r="B32" s="50"/>
      <c r="C32" s="54"/>
      <c r="D32" s="50"/>
    </row>
    <row r="33" spans="1:16">
      <c r="A33" s="56"/>
      <c r="B33" s="51"/>
      <c r="C33" s="54"/>
      <c r="D33" s="5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</row>
    <row r="34" spans="1:16">
      <c r="A34" s="50"/>
      <c r="B34" s="50"/>
      <c r="C34" s="50"/>
      <c r="D34" s="50"/>
      <c r="F34" s="2"/>
      <c r="G34" s="2"/>
      <c r="H34" s="2"/>
      <c r="I34" s="2"/>
      <c r="J34" s="2"/>
      <c r="K34" s="41"/>
      <c r="L34" s="36"/>
      <c r="M34" s="36"/>
      <c r="N34" s="3"/>
      <c r="O34" s="2"/>
      <c r="P34" s="2"/>
    </row>
    <row r="35" spans="1:16">
      <c r="A35" s="50"/>
      <c r="B35" s="50"/>
      <c r="C35" s="50"/>
      <c r="D35" s="50"/>
      <c r="F35" s="2"/>
      <c r="G35" s="2"/>
      <c r="H35" s="2"/>
      <c r="I35" s="2"/>
      <c r="J35" s="2"/>
      <c r="K35" s="41"/>
      <c r="L35" s="36"/>
      <c r="M35" s="36"/>
      <c r="N35" s="3"/>
      <c r="O35" s="2"/>
      <c r="P35" s="2"/>
    </row>
    <row r="36" spans="1:16">
      <c r="A36" s="50"/>
      <c r="B36" s="50"/>
      <c r="C36" s="51"/>
      <c r="D36" s="50"/>
    </row>
    <row r="37" spans="1:16">
      <c r="A37" s="50"/>
      <c r="B37" s="50"/>
      <c r="C37" s="50"/>
      <c r="D37" s="50"/>
      <c r="N37" s="3"/>
      <c r="O37" s="2"/>
      <c r="P37" s="2"/>
    </row>
    <row r="38" spans="1:16">
      <c r="A38" s="50"/>
      <c r="B38" s="50"/>
      <c r="C38" s="4"/>
      <c r="D38" s="50"/>
    </row>
    <row r="39" spans="1:16">
      <c r="A39" s="50"/>
      <c r="B39" s="51"/>
      <c r="C39" s="4"/>
      <c r="D39" s="50"/>
    </row>
    <row r="40" spans="1:16">
      <c r="A40" s="50"/>
      <c r="B40" s="50"/>
      <c r="C40" s="54"/>
      <c r="D40" s="50"/>
    </row>
    <row r="41" spans="1:16">
      <c r="A41" s="50"/>
      <c r="B41" s="50"/>
      <c r="C41" s="54"/>
      <c r="D41" s="50"/>
    </row>
    <row r="42" spans="1:16">
      <c r="A42" s="50"/>
      <c r="B42" s="50"/>
      <c r="C42" s="54"/>
      <c r="D42" s="50"/>
    </row>
    <row r="43" spans="1:16">
      <c r="A43" s="50"/>
      <c r="B43" s="50"/>
      <c r="C43" s="50"/>
      <c r="D43" s="50"/>
    </row>
    <row r="44" spans="1:16">
      <c r="A44" s="50"/>
      <c r="B44" s="55"/>
      <c r="C44" s="50"/>
      <c r="D44" s="50"/>
    </row>
    <row r="45" spans="1:16">
      <c r="A45" s="50"/>
      <c r="B45" s="50"/>
      <c r="C45" s="4"/>
      <c r="D45" s="50"/>
    </row>
    <row r="46" spans="1:16">
      <c r="A46" s="50"/>
      <c r="B46" s="50"/>
      <c r="C46" s="4"/>
      <c r="D46" s="50"/>
    </row>
    <row r="47" spans="1:16">
      <c r="A47" s="50"/>
      <c r="B47" s="50"/>
      <c r="C47" s="54"/>
      <c r="D47" s="50"/>
    </row>
    <row r="48" spans="1:16">
      <c r="A48" s="50"/>
      <c r="B48" s="50"/>
      <c r="C48" s="50"/>
      <c r="D48" s="50"/>
    </row>
    <row r="49" spans="1:4">
      <c r="A49" s="50"/>
      <c r="B49" s="50"/>
      <c r="C49" s="50"/>
      <c r="D49" s="50"/>
    </row>
    <row r="50" spans="1:4">
      <c r="A50" s="50"/>
      <c r="B50" s="50"/>
      <c r="C50" s="51"/>
      <c r="D50" s="50"/>
    </row>
    <row r="51" spans="1:4">
      <c r="A51" s="50"/>
      <c r="B51" s="50"/>
      <c r="C51" s="50"/>
      <c r="D51" s="50"/>
    </row>
    <row r="52" spans="1:4">
      <c r="A52" s="50"/>
      <c r="B52" s="50"/>
      <c r="C52" s="4"/>
      <c r="D52" s="50"/>
    </row>
    <row r="53" spans="1:4">
      <c r="A53" s="50"/>
      <c r="B53" s="50"/>
      <c r="C53" s="4"/>
      <c r="D53" s="50"/>
    </row>
    <row r="54" spans="1:4">
      <c r="A54" s="50"/>
      <c r="B54" s="50"/>
      <c r="C54" s="54"/>
      <c r="D54" s="50"/>
    </row>
    <row r="55" spans="1:4">
      <c r="A55" s="50"/>
      <c r="B55" s="50"/>
      <c r="C55" s="50"/>
      <c r="D55" s="50"/>
    </row>
  </sheetData>
  <mergeCells count="1">
    <mergeCell ref="A19:D19"/>
  </mergeCells>
  <pageMargins left="0.7" right="0.7" top="0.75" bottom="0.75" header="0.3" footer="0.3"/>
  <pageSetup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2" ma:contentTypeDescription="Create a new document." ma:contentTypeScope="" ma:versionID="2474c7f4549ad8682880aca525ed79ee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496125ef1f1b50d60b2c8ba73c0e8f8d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97b6fe81-1556-4112-94ca-31043ca39b71">
      <UserInfo>
        <DisplayName>Giulia Licocci</DisplayName>
        <AccountId>81</AccountId>
        <AccountType/>
      </UserInfo>
      <UserInfo>
        <DisplayName>Nicolas Lescal</DisplayName>
        <AccountId>47</AccountId>
        <AccountType/>
      </UserInfo>
      <UserInfo>
        <DisplayName>Adam Morrison</DisplayName>
        <AccountId>15</AccountId>
        <AccountType/>
      </UserInfo>
      <UserInfo>
        <DisplayName>Ander Madariaga</DisplayName>
        <AccountId>46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3BC8DFA6-2E38-4FFF-9608-2A0DBBB61E5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2C3FF29-2FAB-495F-AC85-8C444855C734}"/>
</file>

<file path=customXml/itemProps3.xml><?xml version="1.0" encoding="utf-8"?>
<ds:datastoreItem xmlns:ds="http://schemas.openxmlformats.org/officeDocument/2006/customXml" ds:itemID="{9D41AF28-BEA9-436B-B873-23FB66DD2C6F}">
  <ds:schemaRefs>
    <ds:schemaRef ds:uri="http://schemas.microsoft.com/office/2006/metadata/properties"/>
    <ds:schemaRef ds:uri="http://schemas.microsoft.com/office/infopath/2007/PartnerControls"/>
    <ds:schemaRef ds:uri="ecbfe105-6ac8-456f-b862-d8441338110b"/>
    <ds:schemaRef ds:uri="a9c55b04-a7a9-4ad1-ae8c-22dbe19f9100"/>
    <ds:schemaRef ds:uri="cadce026-d35b-4a62-a2ee-1436bb44fb55"/>
    <ds:schemaRef ds:uri="6032ed8b-3e71-4b2f-ab7b-020545ac21c9"/>
    <ds:schemaRef ds:uri="b47e0b02-e66e-46e6-9624-2c7410cea089"/>
    <ds:schemaRef ds:uri="1ab80fd1-43e5-4939-82cf-2fd25f588d1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Application of basket</vt:lpstr>
      <vt:lpstr>CMP375</vt:lpstr>
      <vt:lpstr>MEA_Cost2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Sillito</dc:creator>
  <cp:lastModifiedBy>Ander Madariaga</cp:lastModifiedBy>
  <cp:lastPrinted>2022-09-19T09:01:28Z</cp:lastPrinted>
  <dcterms:created xsi:type="dcterms:W3CDTF">2022-06-10T07:33:58Z</dcterms:created>
  <dcterms:modified xsi:type="dcterms:W3CDTF">2022-11-30T07:43:51Z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  <property fmtid="{D5CDD505-2E9C-101B-9397-08002B2CF9AE}" pid="3" name="MediaServiceImageTags">
    <vt:lpwstr/>
  </property>
</Properties>
</file>